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Default Extension="vml" ContentType="application/vnd.openxmlformats-officedocument.vmlDrawing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05" firstSheet="1" activeTab="4"/>
  </bookViews>
  <sheets>
    <sheet name="0000" sheetId="1" state="veryHidden" r:id="rId1"/>
    <sheet name="MU Handled " sheetId="2" r:id="rId2"/>
    <sheet name="Contents" sheetId="3" r:id="rId3"/>
    <sheet name="TRF-1" sheetId="4" r:id="rId4"/>
    <sheet name="TRF-2" sheetId="5" r:id="rId5"/>
    <sheet name="TRF-3" sheetId="6" r:id="rId6"/>
    <sheet name="TRF-4" sheetId="7" r:id="rId7"/>
    <sheet name="TRF-5" sheetId="8" r:id="rId8"/>
    <sheet name="TRF-6" sheetId="9" r:id="rId9"/>
    <sheet name="TRF-7" sheetId="10" r:id="rId10"/>
    <sheet name="TRF-8" sheetId="11" r:id="rId11"/>
    <sheet name="TRF-9" sheetId="12" r:id="rId12"/>
    <sheet name="TRF-10" sheetId="13" r:id="rId13"/>
    <sheet name="TRF-11" sheetId="14" r:id="rId14"/>
    <sheet name="TRF -12" sheetId="15" r:id="rId15"/>
    <sheet name="TRF-13" sheetId="16" r:id="rId16"/>
    <sheet name="TRF-14" sheetId="17" r:id="rId17"/>
    <sheet name="TRF-15" sheetId="18" r:id="rId18"/>
    <sheet name="TRF-16" sheetId="19" r:id="rId19"/>
    <sheet name="TRF-18" sheetId="20" r:id="rId20"/>
    <sheet name="TRF17" sheetId="21" r:id="rId21"/>
    <sheet name="TRF-19" sheetId="22" r:id="rId22"/>
    <sheet name="TRF-20" sheetId="23" r:id="rId23"/>
    <sheet name="TRF-21" sheetId="24" r:id="rId24"/>
    <sheet name="TRF-22" sheetId="25" r:id="rId25"/>
    <sheet name="TRF-23" sheetId="26" r:id="rId26"/>
    <sheet name="TRF-23 (PRINTING)" sheetId="27" r:id="rId27"/>
    <sheet name="TRF-24" sheetId="28" r:id="rId28"/>
    <sheet name="TRF-25" sheetId="29" r:id="rId29"/>
    <sheet name="TRF-26" sheetId="30" r:id="rId30"/>
    <sheet name="TRF-27" sheetId="31" r:id="rId31"/>
    <sheet name="Intt on WC" sheetId="32" r:id="rId32"/>
    <sheet name="Teminal Liability" sheetId="33" r:id="rId33"/>
  </sheets>
  <externalReferences>
    <externalReference r:id="rId36"/>
    <externalReference r:id="rId37"/>
    <externalReference r:id="rId38"/>
    <externalReference r:id="rId39"/>
    <externalReference r:id="rId40"/>
    <externalReference r:id="rId41"/>
  </externalReferences>
  <definedNames>
    <definedName name="abc" localSheetId="1" hidden="1">{"P-n-L and CF Statement",#N/A,FALSE,"Slides";"Cash Coevrage",#N/A,FALSE,"Slides";"Tariff Hikes Required",#N/A,FALSE,"Slides";"Major Assumptions",#N/A,FALSE,"Slides"}</definedName>
    <definedName name="abc" localSheetId="26" hidden="1">{"P-n-L and CF Statement",#N/A,FALSE,"Slides";"Cash Coevrage",#N/A,FALSE,"Slides";"Tariff Hikes Required",#N/A,FALSE,"Slides";"Major Assumptions",#N/A,FALSE,"Slides"}</definedName>
    <definedName name="abc" localSheetId="8" hidden="1">{"P-n-L and CF Statement",#N/A,FALSE,"Slides";"Cash Coevrage",#N/A,FALSE,"Slides";"Tariff Hikes Required",#N/A,FALSE,"Slides";"Major Assumptions",#N/A,FALSE,"Slides"}</definedName>
    <definedName name="abc" hidden="1">{"P-n-L and CF Statement",#N/A,FALSE,"Slides";"Cash Coevrage",#N/A,FALSE,"Slides";"Tariff Hikes Required",#N/A,FALSE,"Slides";"Major Assumptions",#N/A,FALSE,"Slides"}</definedName>
    <definedName name="bond">#REF!</definedName>
    <definedName name="ccc" localSheetId="26" hidden="1">{"P-n-L and CF Statement",#N/A,FALSE,"Slides";"Cash Coevrage",#N/A,FALSE,"Slides";"Tariff Hikes Required",#N/A,FALSE,"Slides";"Major Assumptions",#N/A,FALSE,"Slides"}</definedName>
    <definedName name="ccc" hidden="1">{"P-n-L and CF Statement",#N/A,FALSE,"Slides";"Cash Coevrage",#N/A,FALSE,"Slides";"Tariff Hikes Required",#N/A,FALSE,"Slides";"Major Assumptions",#N/A,FALSE,"Slides"}</definedName>
    <definedName name="ckb" localSheetId="26" hidden="1">{"P-n-L and CF Statement",#N/A,FALSE,"Slides";"Cash Coevrage",#N/A,FALSE,"Slides";"Tariff Hikes Required",#N/A,FALSE,"Slides";"Major Assumptions",#N/A,FALSE,"Slides"}</definedName>
    <definedName name="ckb" hidden="1">{"P-n-L and CF Statement",#N/A,FALSE,"Slides";"Cash Coevrage",#N/A,FALSE,"Slides";"Tariff Hikes Required",#N/A,FALSE,"Slides";"Major Assumptions",#N/A,FALSE,"Slides"}</definedName>
    <definedName name="ddd" localSheetId="26" hidden="1">{"P-n-L and CF Statement",#N/A,FALSE,"Slides";"Cash Coevrage",#N/A,FALSE,"Slides";"Tariff Hikes Required",#N/A,FALSE,"Slides";"Major Assumptions",#N/A,FALSE,"Slides"}</definedName>
    <definedName name="ddd" hidden="1">{"P-n-L and CF Statement",#N/A,FALSE,"Slides";"Cash Coevrage",#N/A,FALSE,"Slides";"Tariff Hikes Required",#N/A,FALSE,"Slides";"Major Assumptions",#N/A,FALSE,"Slides"}</definedName>
    <definedName name="dddd" localSheetId="26" hidden="1">{"P-n-L and CF Statement",#N/A,FALSE,"Slides";"Cash Coevrage",#N/A,FALSE,"Slides";"Tariff Hikes Required",#N/A,FALSE,"Slides";"Major Assumptions",#N/A,FALSE,"Slides"}</definedName>
    <definedName name="dddd" hidden="1">{"P-n-L and CF Statement",#N/A,FALSE,"Slides";"Cash Coevrage",#N/A,FALSE,"Slides";"Tariff Hikes Required",#N/A,FALSE,"Slides";"Major Assumptions",#N/A,FALSE,"Slides"}</definedName>
    <definedName name="Debtors">#REF!</definedName>
    <definedName name="dffs" localSheetId="26" hidden="1">{"P-n-L and CF Statement",#N/A,FALSE,"Slides";"Cash Coevrage",#N/A,FALSE,"Slides";"Tariff Hikes Required",#N/A,FALSE,"Slides";"Major Assumptions",#N/A,FALSE,"Slides"}</definedName>
    <definedName name="dffs" hidden="1">{"P-n-L and CF Statement",#N/A,FALSE,"Slides";"Cash Coevrage",#N/A,FALSE,"Slides";"Tariff Hikes Required",#N/A,FALSE,"Slides";"Major Assumptions",#N/A,FALSE,"Slides"}</definedName>
    <definedName name="DFSDFSD" localSheetId="26" hidden="1">{"P-n-L and CF Statement",#N/A,FALSE,"Slides";"Cash Coevrage",#N/A,FALSE,"Slides";"Tariff Hikes Required",#N/A,FALSE,"Slides";"Major Assumptions",#N/A,FALSE,"Slides"}</definedName>
    <definedName name="DFSDFSD" hidden="1">{"P-n-L and CF Statement",#N/A,FALSE,"Slides";"Cash Coevrage",#N/A,FALSE,"Slides";"Tariff Hikes Required",#N/A,FALSE,"Slides";"Major Assumptions",#N/A,FALSE,"Slides"}</definedName>
    <definedName name="DFSFSFSD" localSheetId="26" hidden="1">{"P-n-L and CF Statement",#N/A,FALSE,"Slides";"Cash Coevrage",#N/A,FALSE,"Slides";"Tariff Hikes Required",#N/A,FALSE,"Slides";"Major Assumptions",#N/A,FALSE,"Slides"}</definedName>
    <definedName name="DFSFSFSD" hidden="1">{"P-n-L and CF Statement",#N/A,FALSE,"Slides";"Cash Coevrage",#N/A,FALSE,"Slides";"Tariff Hikes Required",#N/A,FALSE,"Slides";"Major Assumptions",#N/A,FALSE,"Slides"}</definedName>
    <definedName name="DGDG" localSheetId="26" hidden="1">{"P-n-L and CF Statement",#N/A,FALSE,"Slides";"Cash Coevrage",#N/A,FALSE,"Slides";"Tariff Hikes Required",#N/A,FALSE,"Slides";"Major Assumptions",#N/A,FALSE,"Slides"}</definedName>
    <definedName name="DGDG" hidden="1">{"P-n-L and CF Statement",#N/A,FALSE,"Slides";"Cash Coevrage",#N/A,FALSE,"Slides";"Tariff Hikes Required",#N/A,FALSE,"Slides";"Major Assumptions",#N/A,FALSE,"Slides"}</definedName>
    <definedName name="FSFS" localSheetId="26" hidden="1">{"P-n-L and CF Statement",#N/A,FALSE,"Slides";"Cash Coevrage",#N/A,FALSE,"Slides";"Tariff Hikes Required",#N/A,FALSE,"Slides";"Major Assumptions",#N/A,FALSE,"Slides"}</definedName>
    <definedName name="FSFS" hidden="1">{"P-n-L and CF Statement",#N/A,FALSE,"Slides";"Cash Coevrage",#N/A,FALSE,"Slides";"Tariff Hikes Required",#N/A,FALSE,"Slides";"Major Assumptions",#N/A,FALSE,"Slides"}</definedName>
    <definedName name="fsss" localSheetId="26" hidden="1">{"P-n-L and CF Statement",#N/A,FALSE,"Slides";"Cash Coevrage",#N/A,FALSE,"Slides";"Tariff Hikes Required",#N/A,FALSE,"Slides";"Major Assumptions",#N/A,FALSE,"Slides"}</definedName>
    <definedName name="fsss" hidden="1">{"P-n-L and CF Statement",#N/A,FALSE,"Slides";"Cash Coevrage",#N/A,FALSE,"Slides";"Tariff Hikes Required",#N/A,FALSE,"Slides";"Major Assumptions",#N/A,FALSE,"Slides"}</definedName>
    <definedName name="GHDRGD" localSheetId="26" hidden="1">{"P-n-L and CF Statement",#N/A,FALSE,"Slides";"Cash Coevrage",#N/A,FALSE,"Slides";"Tariff Hikes Required",#N/A,FALSE,"Slides";"Major Assumptions",#N/A,FALSE,"Slides"}</definedName>
    <definedName name="GHDRGD" hidden="1">{"P-n-L and CF Statement",#N/A,FALSE,"Slides";"Cash Coevrage",#N/A,FALSE,"Slides";"Tariff Hikes Required",#N/A,FALSE,"Slides";"Major Assumptions",#N/A,FALSE,"Slides"}</definedName>
    <definedName name="ghf" localSheetId="26" hidden="1">{"P-n-L and CF Statement",#N/A,FALSE,"Slides";"Cash Coevrage",#N/A,FALSE,"Slides";"Tariff Hikes Required",#N/A,FALSE,"Slides";"Major Assumptions",#N/A,FALSE,"Slides"}</definedName>
    <definedName name="ghf" hidden="1">{"P-n-L and CF Statement",#N/A,FALSE,"Slides";"Cash Coevrage",#N/A,FALSE,"Slides";"Tariff Hikes Required",#N/A,FALSE,"Slides";"Major Assumptions",#N/A,FALSE,"Slides"}</definedName>
    <definedName name="h" localSheetId="26" hidden="1">{"P-n-L and CF Statement",#N/A,FALSE,"Slides";"Cash Coevrage",#N/A,FALSE,"Slides";"Tariff Hikes Required",#N/A,FALSE,"Slides";"Major Assumptions",#N/A,FALSE,"Slides"}</definedName>
    <definedName name="h" hidden="1">{"P-n-L and CF Statement",#N/A,FALSE,"Slides";"Cash Coevrage",#N/A,FALSE,"Slides";"Tariff Hikes Required",#N/A,FALSE,"Slides";"Major Assumptions",#N/A,FALSE,"Slides"}</definedName>
    <definedName name="Loss">#REF!</definedName>
    <definedName name="_xlnm.Print_Area" localSheetId="1">'MU Handled '!$A$1:$Z$26</definedName>
    <definedName name="_xlnm.Print_Area" localSheetId="14">'TRF -12'!$A$1:$G$81</definedName>
    <definedName name="_xlnm.Print_Area" localSheetId="3">'TRF-1'!$A$1:$J$34</definedName>
    <definedName name="_xlnm.Print_Area" localSheetId="12">'TRF-10'!$A$1:$N$29</definedName>
    <definedName name="_xlnm.Print_Area" localSheetId="13">'TRF-11'!$A$1:$O$40</definedName>
    <definedName name="_xlnm.Print_Area" localSheetId="15">'TRF-13'!$A$3:$P$60</definedName>
    <definedName name="_xlnm.Print_Area" localSheetId="16">'TRF-14'!$A$1:$L$31</definedName>
    <definedName name="_xlnm.Print_Area" localSheetId="17">'TRF-15'!$A$1:$N$72</definedName>
    <definedName name="_xlnm.Print_Area" localSheetId="18">'TRF-16'!$A$1:$S$69</definedName>
    <definedName name="_xlnm.Print_Area" localSheetId="20">'TRF17'!$A$3:$L$27</definedName>
    <definedName name="_xlnm.Print_Area" localSheetId="19">'TRF-18'!$A$1:$M$25</definedName>
    <definedName name="_xlnm.Print_Area" localSheetId="21">'TRF-19'!$A$1:$F$30</definedName>
    <definedName name="_xlnm.Print_Area" localSheetId="4">'TRF-2'!$A$1:$R$162</definedName>
    <definedName name="_xlnm.Print_Area" localSheetId="22">'TRF-20'!$A$1:$F$24</definedName>
    <definedName name="_xlnm.Print_Area" localSheetId="23">'TRF-21'!$A$1:$F$24</definedName>
    <definedName name="_xlnm.Print_Area" localSheetId="24">'TRF-22'!$A$1:$F$37</definedName>
    <definedName name="_xlnm.Print_Area" localSheetId="25">'TRF-23'!$A$2:$EJ$34</definedName>
    <definedName name="_xlnm.Print_Area" localSheetId="26">'TRF-23 (PRINTING)'!$A$2:$AF$34</definedName>
    <definedName name="_xlnm.Print_Area" localSheetId="27">'TRF-24'!$A$1:$H$20</definedName>
    <definedName name="_xlnm.Print_Area" localSheetId="28">'TRF-25'!$A$1:$L$57</definedName>
    <definedName name="_xlnm.Print_Area" localSheetId="29">'TRF-26'!$A$3:$L$48</definedName>
    <definedName name="_xlnm.Print_Area" localSheetId="30">'TRF-27'!$A$2:$M$31</definedName>
    <definedName name="_xlnm.Print_Area" localSheetId="5">'TRF-3'!$A$2:$W$95</definedName>
    <definedName name="_xlnm.Print_Area" localSheetId="6">'TRF-4'!$A$1:$L$51</definedName>
    <definedName name="_xlnm.Print_Area" localSheetId="7">'TRF-5'!$A$1:$L$60</definedName>
    <definedName name="_xlnm.Print_Area" localSheetId="8">'TRF-6'!$A$1:$L$70</definedName>
    <definedName name="_xlnm.Print_Area" localSheetId="9">'TRF-7'!$A$1:$H$63</definedName>
    <definedName name="_xlnm.Print_Area" localSheetId="10">'TRF-8'!$A$1:$E$26</definedName>
    <definedName name="_xlnm.Print_Area" localSheetId="11">'TRF-9'!$A$1:$K$39</definedName>
    <definedName name="_xlnm.Print_Titles" localSheetId="14">'TRF -12'!$3:$9</definedName>
    <definedName name="_xlnm.Print_Titles" localSheetId="13">'TRF-11'!$2:$3</definedName>
    <definedName name="_xlnm.Print_Titles" localSheetId="18">'TRF-16'!$2:$17</definedName>
    <definedName name="_xlnm.Print_Titles" localSheetId="25">'TRF-23'!$A:$E</definedName>
    <definedName name="_xlnm.Print_Titles" localSheetId="26">'TRF-23 (PRINTING)'!$A:$E</definedName>
    <definedName name="_xlnm.Print_Titles" localSheetId="8">'TRF-6'!$2:$6</definedName>
    <definedName name="sdfsdf" localSheetId="26" hidden="1">{#N/A,#N/A,TRUE,"98-99";#N/A,#N/A,TRUE,"Revised int. rate up to 98-99";#N/A,#N/A,TRUE,"Comparative(Cesco)-1(98-99Loan)";#N/A,#N/A,TRUE,"Comparative(Cesco)-2(98-99Loan)";#N/A,#N/A,TRUE,"Comparative(Nesco)-1(98-99Loan)";#N/A,#N/A,TRUE,"Comparative(Nesco)-2(98-99Loan)";#N/A,#N/A,TRUE,"Compara.(Southco)-1(98-99Loan)";#N/A,#N/A,TRUE,"Compara.(Southco)-2(98-99Loan)";#N/A,#N/A,TRUE,"Comparative(Wesco)-1(98-99Loan)";#N/A,#N/A,TRUE,"Comparative(Wesco)-2(98-99Loan)";#N/A,#N/A,TRUE,"BSES-Option1";#N/A,#N/A,TRUE,"BSES-Option2";#N/A,#N/A,TRUE,"99-00 addtions and revised int.";#N/A,#N/A,TRUE,"Cesco repayment-(99-00 loan)";#N/A,#N/A,TRUE,"Cesco repayment-(99-00 loan)-2";#N/A,#N/A,TRUE,"Nesco repayment-(99-00 loan)";#N/A,#N/A,TRUE,"Nesco repayment-(99-00 loan)-2";#N/A,#N/A,TRUE,"Southco repayment-(99-00 loan)";#N/A,#N/A,TRUE,"Southco repayment(99-00 loan)-2";#N/A,#N/A,TRUE,"Wesco repayment(99-00 loan)";#N/A,#N/A,TRUE,"Wesco repayment(99-00 loan)-2";#N/A,#N/A,TRUE,"BSES99-00-Option-1";#N/A,#N/A,TRUE,"BSES99-00-Option-2";#N/A,#N/A,TRUE,"00-01 additions";#N/A,#N/A,TRUE,"Cesco repayment-(00-01 loan)-1";#N/A,#N/A,TRUE,"Cesco repayment-(00-01 loan)-2";#N/A,#N/A,TRUE,"Nesco repayment-(00-01 loan)-1";#N/A,#N/A,TRUE,"Nesco repayment-(00-01 loan)-2";#N/A,#N/A,TRUE,"Southco repayment(00-01 loan)-1";#N/A,#N/A,TRUE,"Southco repayment(00-01 loan)-2";#N/A,#N/A,TRUE,"Wesco repayment-(00-01 loan)-1";#N/A,#N/A,TRUE,"Wesco repayment-(00-01 loan)-2";#N/A,#N/A,TRUE,"BSES repayment-(00-01 loan)-1";#N/A,#N/A,TRUE,"BSES repayment-(00-01 loan)-2";#N/A,#N/A,TRUE,"Inflow-Outflow Statement-1";#N/A,#N/A,TRUE,"Inflow-Outflow Statement-2"}</definedName>
    <definedName name="sdfsdf" hidden="1">{#N/A,#N/A,TRUE,"98-99";#N/A,#N/A,TRUE,"Revised int. rate up to 98-99";#N/A,#N/A,TRUE,"Comparative(Cesco)-1(98-99Loan)";#N/A,#N/A,TRUE,"Comparative(Cesco)-2(98-99Loan)";#N/A,#N/A,TRUE,"Comparative(Nesco)-1(98-99Loan)";#N/A,#N/A,TRUE,"Comparative(Nesco)-2(98-99Loan)";#N/A,#N/A,TRUE,"Compara.(Southco)-1(98-99Loan)";#N/A,#N/A,TRUE,"Compara.(Southco)-2(98-99Loan)";#N/A,#N/A,TRUE,"Comparative(Wesco)-1(98-99Loan)";#N/A,#N/A,TRUE,"Comparative(Wesco)-2(98-99Loan)";#N/A,#N/A,TRUE,"BSES-Option1";#N/A,#N/A,TRUE,"BSES-Option2";#N/A,#N/A,TRUE,"99-00 addtions and revised int.";#N/A,#N/A,TRUE,"Cesco repayment-(99-00 loan)";#N/A,#N/A,TRUE,"Cesco repayment-(99-00 loan)-2";#N/A,#N/A,TRUE,"Nesco repayment-(99-00 loan)";#N/A,#N/A,TRUE,"Nesco repayment-(99-00 loan)-2";#N/A,#N/A,TRUE,"Southco repayment-(99-00 loan)";#N/A,#N/A,TRUE,"Southco repayment(99-00 loan)-2";#N/A,#N/A,TRUE,"Wesco repayment(99-00 loan)";#N/A,#N/A,TRUE,"Wesco repayment(99-00 loan)-2";#N/A,#N/A,TRUE,"BSES99-00-Option-1";#N/A,#N/A,TRUE,"BSES99-00-Option-2";#N/A,#N/A,TRUE,"00-01 additions";#N/A,#N/A,TRUE,"Cesco repayment-(00-01 loan)-1";#N/A,#N/A,TRUE,"Cesco repayment-(00-01 loan)-2";#N/A,#N/A,TRUE,"Nesco repayment-(00-01 loan)-1";#N/A,#N/A,TRUE,"Nesco repayment-(00-01 loan)-2";#N/A,#N/A,TRUE,"Southco repayment(00-01 loan)-1";#N/A,#N/A,TRUE,"Southco repayment(00-01 loan)-2";#N/A,#N/A,TRUE,"Wesco repayment-(00-01 loan)-1";#N/A,#N/A,TRUE,"Wesco repayment-(00-01 loan)-2";#N/A,#N/A,TRUE,"BSES repayment-(00-01 loan)-1";#N/A,#N/A,TRUE,"BSES repayment-(00-01 loan)-2";#N/A,#N/A,TRUE,"Inflow-Outflow Statement-1";#N/A,#N/A,TRUE,"Inflow-Outflow Statement-2"}</definedName>
    <definedName name="ssd" localSheetId="26" hidden="1">{"P-n-L and CF Statement",#N/A,FALSE,"Slides";"Cash Coevrage",#N/A,FALSE,"Slides";"Tariff Hikes Required",#N/A,FALSE,"Slides";"Major Assumptions",#N/A,FALSE,"Slides"}</definedName>
    <definedName name="ssd" hidden="1">{"P-n-L and CF Statement",#N/A,FALSE,"Slides";"Cash Coevrage",#N/A,FALSE,"Slides";"Tariff Hikes Required",#N/A,FALSE,"Slides";"Major Assumptions",#N/A,FALSE,"Slides"}</definedName>
    <definedName name="sss" localSheetId="26" hidden="1">{"P-n-L and CF Statement",#N/A,FALSE,"Slides";"Cash Coevrage",#N/A,FALSE,"Slides";"Tariff Hikes Required",#N/A,FALSE,"Slides";"Major Assumptions",#N/A,FALSE,"Slides"}</definedName>
    <definedName name="sss" hidden="1">{"P-n-L and CF Statement",#N/A,FALSE,"Slides";"Cash Coevrage",#N/A,FALSE,"Slides";"Tariff Hikes Required",#N/A,FALSE,"Slides";"Major Assumptions",#N/A,FALSE,"Slides"}</definedName>
    <definedName name="Tariff">#REF!</definedName>
    <definedName name="TarrGrowth">#REF!</definedName>
    <definedName name="wrn.Back._.To._.Back._.Loan._.Repayment._.Schedule." localSheetId="1" hidden="1">{#N/A,#N/A,TRUE,"98-99";#N/A,#N/A,TRUE,"Revised int. rate up to 98-99";#N/A,#N/A,TRUE,"Comparative(Cesco)-1(98-99Loan)";#N/A,#N/A,TRUE,"Comparative(Cesco)-2(98-99Loan)";#N/A,#N/A,TRUE,"Comparative(Nesco)-1(98-99Loan)";#N/A,#N/A,TRUE,"Comparative(Nesco)-2(98-99Loan)";#N/A,#N/A,TRUE,"Compara.(Southco)-1(98-99Loan)";#N/A,#N/A,TRUE,"Compara.(Southco)-2(98-99Loan)";#N/A,#N/A,TRUE,"Comparative(Wesco)-1(98-99Loan)";#N/A,#N/A,TRUE,"Comparative(Wesco)-2(98-99Loan)";#N/A,#N/A,TRUE,"BSES-Option1";#N/A,#N/A,TRUE,"BSES-Option2";#N/A,#N/A,TRUE,"99-00 addtions and revised int.";#N/A,#N/A,TRUE,"Cesco repayment-(99-00 loan)";#N/A,#N/A,TRUE,"Cesco repayment-(99-00 loan)-2";#N/A,#N/A,TRUE,"Nesco repayment-(99-00 loan)";#N/A,#N/A,TRUE,"Nesco repayment-(99-00 loan)-2";#N/A,#N/A,TRUE,"Southco repayment-(99-00 loan)";#N/A,#N/A,TRUE,"Southco repayment(99-00 loan)-2";#N/A,#N/A,TRUE,"Wesco repayment(99-00 loan)";#N/A,#N/A,TRUE,"Wesco repayment(99-00 loan)-2";#N/A,#N/A,TRUE,"BSES99-00-Option-1";#N/A,#N/A,TRUE,"BSES99-00-Option-2";#N/A,#N/A,TRUE,"00-01 additions";#N/A,#N/A,TRUE,"Cesco repayment-(00-01 loan)-1";#N/A,#N/A,TRUE,"Cesco repayment-(00-01 loan)-2";#N/A,#N/A,TRUE,"Nesco repayment-(00-01 loan)-1";#N/A,#N/A,TRUE,"Nesco repayment-(00-01 loan)-2";#N/A,#N/A,TRUE,"Southco repayment(00-01 loan)-1";#N/A,#N/A,TRUE,"Southco repayment(00-01 loan)-2";#N/A,#N/A,TRUE,"Wesco repayment-(00-01 loan)-1";#N/A,#N/A,TRUE,"Wesco repayment-(00-01 loan)-2";#N/A,#N/A,TRUE,"BSES repayment-(00-01 loan)-1";#N/A,#N/A,TRUE,"BSES repayment-(00-01 loan)-2";#N/A,#N/A,TRUE,"Inflow-Outflow Statement-1";#N/A,#N/A,TRUE,"Inflow-Outflow Statement-2"}</definedName>
    <definedName name="wrn.Back._.To._.Back._.Loan._.Repayment._.Schedule." localSheetId="26" hidden="1">{#N/A,#N/A,TRUE,"98-99";#N/A,#N/A,TRUE,"Revised int. rate up to 98-99";#N/A,#N/A,TRUE,"Comparative(Cesco)-1(98-99Loan)";#N/A,#N/A,TRUE,"Comparative(Cesco)-2(98-99Loan)";#N/A,#N/A,TRUE,"Comparative(Nesco)-1(98-99Loan)";#N/A,#N/A,TRUE,"Comparative(Nesco)-2(98-99Loan)";#N/A,#N/A,TRUE,"Compara.(Southco)-1(98-99Loan)";#N/A,#N/A,TRUE,"Compara.(Southco)-2(98-99Loan)";#N/A,#N/A,TRUE,"Comparative(Wesco)-1(98-99Loan)";#N/A,#N/A,TRUE,"Comparative(Wesco)-2(98-99Loan)";#N/A,#N/A,TRUE,"BSES-Option1";#N/A,#N/A,TRUE,"BSES-Option2";#N/A,#N/A,TRUE,"99-00 addtions and revised int.";#N/A,#N/A,TRUE,"Cesco repayment-(99-00 loan)";#N/A,#N/A,TRUE,"Cesco repayment-(99-00 loan)-2";#N/A,#N/A,TRUE,"Nesco repayment-(99-00 loan)";#N/A,#N/A,TRUE,"Nesco repayment-(99-00 loan)-2";#N/A,#N/A,TRUE,"Southco repayment-(99-00 loan)";#N/A,#N/A,TRUE,"Southco repayment(99-00 loan)-2";#N/A,#N/A,TRUE,"Wesco repayment(99-00 loan)";#N/A,#N/A,TRUE,"Wesco repayment(99-00 loan)-2";#N/A,#N/A,TRUE,"BSES99-00-Option-1";#N/A,#N/A,TRUE,"BSES99-00-Option-2";#N/A,#N/A,TRUE,"00-01 additions";#N/A,#N/A,TRUE,"Cesco repayment-(00-01 loan)-1";#N/A,#N/A,TRUE,"Cesco repayment-(00-01 loan)-2";#N/A,#N/A,TRUE,"Nesco repayment-(00-01 loan)-1";#N/A,#N/A,TRUE,"Nesco repayment-(00-01 loan)-2";#N/A,#N/A,TRUE,"Southco repayment(00-01 loan)-1";#N/A,#N/A,TRUE,"Southco repayment(00-01 loan)-2";#N/A,#N/A,TRUE,"Wesco repayment-(00-01 loan)-1";#N/A,#N/A,TRUE,"Wesco repayment-(00-01 loan)-2";#N/A,#N/A,TRUE,"BSES repayment-(00-01 loan)-1";#N/A,#N/A,TRUE,"BSES repayment-(00-01 loan)-2";#N/A,#N/A,TRUE,"Inflow-Outflow Statement-1";#N/A,#N/A,TRUE,"Inflow-Outflow Statement-2"}</definedName>
    <definedName name="wrn.Back._.To._.Back._.Loan._.Repayment._.Schedule." localSheetId="8" hidden="1">{#N/A,#N/A,TRUE,"98-99";#N/A,#N/A,TRUE,"Revised int. rate up to 98-99";#N/A,#N/A,TRUE,"Comparative(Cesco)-1(98-99Loan)";#N/A,#N/A,TRUE,"Comparative(Cesco)-2(98-99Loan)";#N/A,#N/A,TRUE,"Comparative(Nesco)-1(98-99Loan)";#N/A,#N/A,TRUE,"Comparative(Nesco)-2(98-99Loan)";#N/A,#N/A,TRUE,"Compara.(Southco)-1(98-99Loan)";#N/A,#N/A,TRUE,"Compara.(Southco)-2(98-99Loan)";#N/A,#N/A,TRUE,"Comparative(Wesco)-1(98-99Loan)";#N/A,#N/A,TRUE,"Comparative(Wesco)-2(98-99Loan)";#N/A,#N/A,TRUE,"BSES-Option1";#N/A,#N/A,TRUE,"BSES-Option2";#N/A,#N/A,TRUE,"99-00 addtions and revised int.";#N/A,#N/A,TRUE,"Cesco repayment-(99-00 loan)";#N/A,#N/A,TRUE,"Cesco repayment-(99-00 loan)-2";#N/A,#N/A,TRUE,"Nesco repayment-(99-00 loan)";#N/A,#N/A,TRUE,"Nesco repayment-(99-00 loan)-2";#N/A,#N/A,TRUE,"Southco repayment-(99-00 loan)";#N/A,#N/A,TRUE,"Southco repayment(99-00 loan)-2";#N/A,#N/A,TRUE,"Wesco repayment(99-00 loan)";#N/A,#N/A,TRUE,"Wesco repayment(99-00 loan)-2";#N/A,#N/A,TRUE,"BSES99-00-Option-1";#N/A,#N/A,TRUE,"BSES99-00-Option-2";#N/A,#N/A,TRUE,"00-01 additions";#N/A,#N/A,TRUE,"Cesco repayment-(00-01 loan)-1";#N/A,#N/A,TRUE,"Cesco repayment-(00-01 loan)-2";#N/A,#N/A,TRUE,"Nesco repayment-(00-01 loan)-1";#N/A,#N/A,TRUE,"Nesco repayment-(00-01 loan)-2";#N/A,#N/A,TRUE,"Southco repayment(00-01 loan)-1";#N/A,#N/A,TRUE,"Southco repayment(00-01 loan)-2";#N/A,#N/A,TRUE,"Wesco repayment-(00-01 loan)-1";#N/A,#N/A,TRUE,"Wesco repayment-(00-01 loan)-2";#N/A,#N/A,TRUE,"BSES repayment-(00-01 loan)-1";#N/A,#N/A,TRUE,"BSES repayment-(00-01 loan)-2";#N/A,#N/A,TRUE,"Inflow-Outflow Statement-1";#N/A,#N/A,TRUE,"Inflow-Outflow Statement-2"}</definedName>
    <definedName name="wrn.Back._.To._.Back._.Loan._.Repayment._.Schedule." hidden="1">{#N/A,#N/A,TRUE,"98-99";#N/A,#N/A,TRUE,"Revised int. rate up to 98-99";#N/A,#N/A,TRUE,"Comparative(Cesco)-1(98-99Loan)";#N/A,#N/A,TRUE,"Comparative(Cesco)-2(98-99Loan)";#N/A,#N/A,TRUE,"Comparative(Nesco)-1(98-99Loan)";#N/A,#N/A,TRUE,"Comparative(Nesco)-2(98-99Loan)";#N/A,#N/A,TRUE,"Compara.(Southco)-1(98-99Loan)";#N/A,#N/A,TRUE,"Compara.(Southco)-2(98-99Loan)";#N/A,#N/A,TRUE,"Comparative(Wesco)-1(98-99Loan)";#N/A,#N/A,TRUE,"Comparative(Wesco)-2(98-99Loan)";#N/A,#N/A,TRUE,"BSES-Option1";#N/A,#N/A,TRUE,"BSES-Option2";#N/A,#N/A,TRUE,"99-00 addtions and revised int.";#N/A,#N/A,TRUE,"Cesco repayment-(99-00 loan)";#N/A,#N/A,TRUE,"Cesco repayment-(99-00 loan)-2";#N/A,#N/A,TRUE,"Nesco repayment-(99-00 loan)";#N/A,#N/A,TRUE,"Nesco repayment-(99-00 loan)-2";#N/A,#N/A,TRUE,"Southco repayment-(99-00 loan)";#N/A,#N/A,TRUE,"Southco repayment(99-00 loan)-2";#N/A,#N/A,TRUE,"Wesco repayment(99-00 loan)";#N/A,#N/A,TRUE,"Wesco repayment(99-00 loan)-2";#N/A,#N/A,TRUE,"BSES99-00-Option-1";#N/A,#N/A,TRUE,"BSES99-00-Option-2";#N/A,#N/A,TRUE,"00-01 additions";#N/A,#N/A,TRUE,"Cesco repayment-(00-01 loan)-1";#N/A,#N/A,TRUE,"Cesco repayment-(00-01 loan)-2";#N/A,#N/A,TRUE,"Nesco repayment-(00-01 loan)-1";#N/A,#N/A,TRUE,"Nesco repayment-(00-01 loan)-2";#N/A,#N/A,TRUE,"Southco repayment(00-01 loan)-1";#N/A,#N/A,TRUE,"Southco repayment(00-01 loan)-2";#N/A,#N/A,TRUE,"Wesco repayment-(00-01 loan)-1";#N/A,#N/A,TRUE,"Wesco repayment-(00-01 loan)-2";#N/A,#N/A,TRUE,"BSES repayment-(00-01 loan)-1";#N/A,#N/A,TRUE,"BSES repayment-(00-01 loan)-2";#N/A,#N/A,TRUE,"Inflow-Outflow Statement-1";#N/A,#N/A,TRUE,"Inflow-Outflow Statement-2"}</definedName>
    <definedName name="wrn.Report._.for._.DfID_Aug6." localSheetId="1" hidden="1">{"P-n-L and CF Statement",#N/A,FALSE,"Slides";"Cash Coevrage",#N/A,FALSE,"Slides";"Tariff Hikes Required",#N/A,FALSE,"Slides";"Major Assumptions",#N/A,FALSE,"Slides"}</definedName>
    <definedName name="wrn.Report._.for._.DfID_Aug6." localSheetId="26" hidden="1">{"P-n-L and CF Statement",#N/A,FALSE,"Slides";"Cash Coevrage",#N/A,FALSE,"Slides";"Tariff Hikes Required",#N/A,FALSE,"Slides";"Major Assumptions",#N/A,FALSE,"Slides"}</definedName>
    <definedName name="wrn.Report._.for._.DfID_Aug6." localSheetId="8" hidden="1">{"P-n-L and CF Statement",#N/A,FALSE,"Slides";"Cash Coevrage",#N/A,FALSE,"Slides";"Tariff Hikes Required",#N/A,FALSE,"Slides";"Major Assumptions",#N/A,FALSE,"Slides"}</definedName>
    <definedName name="wrn.Report._.for._.DfID_Aug6." hidden="1">{"P-n-L and CF Statement",#N/A,FALSE,"Slides";"Cash Coevrage",#N/A,FALSE,"Slides";"Tariff Hikes Required",#N/A,FALSE,"Slides";"Major Assumptions",#N/A,FALSE,"Slides"}</definedName>
    <definedName name="xx">#REF!</definedName>
  </definedNames>
  <calcPr fullCalcOnLoad="1" iterate="1" iterateCount="100" iterateDelta="0.001"/>
</workbook>
</file>

<file path=xl/comments12.xml><?xml version="1.0" encoding="utf-8"?>
<comments xmlns="http://schemas.openxmlformats.org/spreadsheetml/2006/main">
  <authors>
    <author>Aryan</author>
  </authors>
  <commentList>
    <comment ref="A7" authorId="0">
      <text>
        <r>
          <rPr>
            <b/>
            <sz val="8"/>
            <rFont val="Tahoma"/>
            <family val="0"/>
          </rPr>
          <t>Aryan: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6.xml><?xml version="1.0" encoding="utf-8"?>
<comments xmlns="http://schemas.openxmlformats.org/spreadsheetml/2006/main">
  <authors>
    <author>IT CENTRE</author>
  </authors>
  <commentList>
    <comment ref="Z18" authorId="0">
      <text>
        <r>
          <rPr>
            <b/>
            <sz val="8"/>
            <rFont val="Tahoma"/>
            <family val="0"/>
          </rPr>
          <t>IT CENTRE:</t>
        </r>
        <r>
          <rPr>
            <sz val="8"/>
            <rFont val="Tahoma"/>
            <family val="0"/>
          </rPr>
          <t xml:space="preserve">
Transfer to distco
</t>
        </r>
      </text>
    </comment>
    <comment ref="Z19" authorId="0">
      <text>
        <r>
          <rPr>
            <b/>
            <sz val="8"/>
            <rFont val="Tahoma"/>
            <family val="0"/>
          </rPr>
          <t>IT CENTRE:</t>
        </r>
        <r>
          <rPr>
            <sz val="8"/>
            <rFont val="Tahoma"/>
            <family val="0"/>
          </rPr>
          <t xml:space="preserve">
Transfer to distco</t>
        </r>
      </text>
    </comment>
    <comment ref="Y20" authorId="0">
      <text>
        <r>
          <rPr>
            <b/>
            <sz val="8"/>
            <rFont val="Tahoma"/>
            <family val="0"/>
          </rPr>
          <t>IT CENTRE:</t>
        </r>
        <r>
          <rPr>
            <sz val="8"/>
            <rFont val="Tahoma"/>
            <family val="0"/>
          </rPr>
          <t xml:space="preserve">
Adjustment for transfer to line &amp; cables</t>
        </r>
      </text>
    </comment>
    <comment ref="Y21" authorId="0">
      <text>
        <r>
          <rPr>
            <b/>
            <sz val="8"/>
            <rFont val="Tahoma"/>
            <family val="0"/>
          </rPr>
          <t>IT CENTRE:</t>
        </r>
        <r>
          <rPr>
            <sz val="8"/>
            <rFont val="Tahoma"/>
            <family val="0"/>
          </rPr>
          <t xml:space="preserve">
adjustment for transfer to lines &amp; cables</t>
        </r>
      </text>
    </comment>
    <comment ref="Z22" authorId="0">
      <text>
        <r>
          <rPr>
            <b/>
            <sz val="8"/>
            <rFont val="Tahoma"/>
            <family val="0"/>
          </rPr>
          <t>IT CENTRE:</t>
        </r>
        <r>
          <rPr>
            <sz val="8"/>
            <rFont val="Tahoma"/>
            <family val="0"/>
          </rPr>
          <t xml:space="preserve">
adjustment for transfer to Distco=1026.17 crores </t>
        </r>
      </text>
    </comment>
    <comment ref="Z23" authorId="0">
      <text>
        <r>
          <rPr>
            <b/>
            <sz val="8"/>
            <rFont val="Tahoma"/>
            <family val="0"/>
          </rPr>
          <t>IT CENTRE:</t>
        </r>
        <r>
          <rPr>
            <sz val="8"/>
            <rFont val="Tahoma"/>
            <family val="0"/>
          </rPr>
          <t xml:space="preserve">
transfer to distco</t>
        </r>
      </text>
    </comment>
    <comment ref="Z24" authorId="0">
      <text>
        <r>
          <rPr>
            <b/>
            <sz val="8"/>
            <rFont val="Tahoma"/>
            <family val="0"/>
          </rPr>
          <t>IT CENTRE:</t>
        </r>
        <r>
          <rPr>
            <sz val="8"/>
            <rFont val="Tahoma"/>
            <family val="0"/>
          </rPr>
          <t xml:space="preserve">
transfer to distco</t>
        </r>
      </text>
    </comment>
    <comment ref="Z25" authorId="0">
      <text>
        <r>
          <rPr>
            <b/>
            <sz val="8"/>
            <rFont val="Tahoma"/>
            <family val="0"/>
          </rPr>
          <t>IT CENTRE:</t>
        </r>
        <r>
          <rPr>
            <sz val="8"/>
            <rFont val="Tahoma"/>
            <family val="0"/>
          </rPr>
          <t xml:space="preserve">
transfer to distco</t>
        </r>
      </text>
    </comment>
    <comment ref="Y22" authorId="0">
      <text>
        <r>
          <rPr>
            <b/>
            <sz val="8"/>
            <rFont val="Tahoma"/>
            <family val="0"/>
          </rPr>
          <t>IT CENTRE:</t>
        </r>
        <r>
          <rPr>
            <sz val="8"/>
            <rFont val="Tahoma"/>
            <family val="0"/>
          </rPr>
          <t xml:space="preserve">
Adjustment for transfer of assets civil work-.16 crores &amp; p&amp;m-4.12 crores</t>
        </r>
      </text>
    </comment>
  </commentList>
</comments>
</file>

<file path=xl/comments28.xml><?xml version="1.0" encoding="utf-8"?>
<comments xmlns="http://schemas.openxmlformats.org/spreadsheetml/2006/main">
  <authors>
    <author>revenue GRIDCO</author>
  </authors>
  <commentList>
    <comment ref="D14" authorId="0">
      <text>
        <r>
          <rPr>
            <b/>
            <sz val="8"/>
            <rFont val="Tahoma"/>
            <family val="2"/>
          </rPr>
          <t>revenue GRIDCO:</t>
        </r>
        <r>
          <rPr>
            <sz val="8"/>
            <rFont val="Tahoma"/>
            <family val="2"/>
          </rPr>
          <t xml:space="preserve">
For super cyclone</t>
        </r>
      </text>
    </comment>
  </commentList>
</comments>
</file>

<file path=xl/sharedStrings.xml><?xml version="1.0" encoding="utf-8"?>
<sst xmlns="http://schemas.openxmlformats.org/spreadsheetml/2006/main" count="2637" uniqueCount="1411">
  <si>
    <t>Construction of  2*100MVA , 220/132/33KV s/s at Pratapsasan near Balakati with associated 220KV DC LILO line of Proposed 220 KV Cuttack-Jatani Line.132KV DC line from Pratap Sasan to Phulnakhara with 2 Nos. of Bay at Phulnakhara</t>
  </si>
  <si>
    <t>Construction of  220/ 132/33kV s/s at Lahanda near Joda with construction of 132kV DC line from Lahanda to Barbil and two nos 132kV feeder bay extension at Barbil</t>
  </si>
  <si>
    <r>
      <t xml:space="preserve">2X40 MVA 132/33kV Substation at </t>
    </r>
    <r>
      <rPr>
        <b/>
        <sz val="12"/>
        <rFont val="Bitstream Charter"/>
        <family val="1"/>
      </rPr>
      <t>CDA Cuttack</t>
    </r>
    <r>
      <rPr>
        <sz val="12"/>
        <rFont val="Bitstream Charter"/>
        <family val="1"/>
      </rPr>
      <t xml:space="preserve"> with associated LILO line (4KM)</t>
    </r>
  </si>
  <si>
    <r>
      <t xml:space="preserve">2X20 MVA 132/33kV Substation at </t>
    </r>
    <r>
      <rPr>
        <b/>
        <sz val="12"/>
        <rFont val="Bitstream Charter"/>
        <family val="1"/>
      </rPr>
      <t>R.Udayagiri</t>
    </r>
    <r>
      <rPr>
        <sz val="12"/>
        <rFont val="Bitstream Charter"/>
        <family val="1"/>
      </rPr>
      <t xml:space="preserve"> with 132kV line from Mohana with 132kV Bay extension at Mohana (40KM)</t>
    </r>
  </si>
  <si>
    <r>
      <t xml:space="preserve">2X20 MVA 132/33kV Substation at </t>
    </r>
    <r>
      <rPr>
        <b/>
        <sz val="12"/>
        <rFont val="Bitstream Charter"/>
        <family val="1"/>
      </rPr>
      <t>Nandapur</t>
    </r>
    <r>
      <rPr>
        <sz val="12"/>
        <rFont val="Bitstream Charter"/>
        <family val="1"/>
      </rPr>
      <t xml:space="preserve"> with 132kV line from Patangi with 132kV Bay extension at Patangi (35KM)</t>
    </r>
  </si>
  <si>
    <t>Construction of one no.220kV bay at Paradeep S/s for IOCL alongwith 220 kV transmission lines from Paradeep to IOCL</t>
  </si>
  <si>
    <t>Diversion of DC line from Budhipadar to Jorabaga</t>
  </si>
  <si>
    <t>Diversion of Paradeep-Haridaspur line ( Railway deposit )</t>
  </si>
  <si>
    <t xml:space="preserve">rate of int 11.0 % </t>
  </si>
  <si>
    <t>(Rs in Crores)</t>
  </si>
  <si>
    <t>TOTAL:D=A+B+C</t>
  </si>
  <si>
    <t>Construction of 132KV SC line on DC tower from Theruvalli S/S to M/s. Utkal Alumina of Kuchipadar &amp; B.E. At theruvalli ( D.W.)</t>
  </si>
  <si>
    <t>Construction of 220KV DC line for Laxmipur S/s to Aditya Alumina kansariguda ( D.W.)</t>
  </si>
  <si>
    <t>Construction of 220KV SC line on DC tower from laxmipur to M/s. Utkal Alumina At Doraguda ( D.W)</t>
  </si>
  <si>
    <t>other deposit work &amp; consumer contribution</t>
  </si>
  <si>
    <t>TOTAL-C</t>
  </si>
  <si>
    <t>Income Recoverable on Regulatory Asset</t>
  </si>
  <si>
    <t>2x100 MVA, 220/132/33 kv s/s at Kuanrmunda with LILO arrangement from existing 220 kv Budhipadar-Tarkera dc lines</t>
  </si>
  <si>
    <t>Constn. of 2x100 MVA 220/132 kv grid s/s at Cuttack, with 2 nos 220 kv feeder bay extn. at Bidanasi grid with linking arrangement at both ends.</t>
  </si>
  <si>
    <t>Construction of 2nd Ckt from Loc. No. 116 of 132 kv Chandaka- Nimapada sc line to Nimapada grid with one no 132 kv bay extn.</t>
  </si>
  <si>
    <t>DEPOSIT WORKS</t>
  </si>
  <si>
    <t>Constn. of Tomka Railway line from B.C. Mohanty &amp; sons Ltd (D.W)</t>
  </si>
  <si>
    <t>ROE=15.50%/(1-20.00775%)</t>
  </si>
  <si>
    <t>Previous Year-201112</t>
  </si>
  <si>
    <t>FY-13-14(Estt)</t>
  </si>
  <si>
    <t>Constn. of 132 kv LILO line from Khurda-Puri for power supply to Samuka Beach near s/s Puri (D.W)</t>
  </si>
  <si>
    <t>Diversion of 220 kv line from TTPS to Joda 4th crossing (D.W)</t>
  </si>
  <si>
    <t>Diversion of Dhenkanal -Joranda road RTSS for clearance of right canal</t>
  </si>
  <si>
    <t>Power supply to Bansapani RTSS from Joda grid s/s</t>
  </si>
  <si>
    <t>Power supply Keonjhar RTSS from Polasponga grid s/s</t>
  </si>
  <si>
    <t>132kV s/s at IIT, Argul</t>
  </si>
  <si>
    <t>Re-routing of 132kV DC Line from Chandaka to Sijua for AIIMS</t>
  </si>
  <si>
    <t>Diversion of 2 nos line due to proposed Talcher- Bimalgarh Rly Line</t>
  </si>
  <si>
    <t>Leave Travel Concession</t>
  </si>
  <si>
    <t>20% increase</t>
  </si>
  <si>
    <t>(1/12th of the sum of the stores materials and suppliers</t>
  </si>
  <si>
    <t>(ii)    Average cash and bank balance</t>
  </si>
  <si>
    <t>(1/12th of the sum of cash and bank balance whether credit</t>
  </si>
  <si>
    <t>or debit and call and short term deposits at the end of each</t>
  </si>
  <si>
    <t>month of the year)</t>
  </si>
  <si>
    <t>Total of A:</t>
  </si>
  <si>
    <t>Less</t>
  </si>
  <si>
    <t>of fixed assets.</t>
  </si>
  <si>
    <t>The amount of any loan advanced by Board.</t>
  </si>
  <si>
    <t>ii-a)</t>
  </si>
  <si>
    <t xml:space="preserve">Appropriation during the year </t>
  </si>
  <si>
    <t>Contingency Reserve</t>
  </si>
  <si>
    <t>J</t>
  </si>
  <si>
    <t>CERC Rates of Depreciation</t>
  </si>
  <si>
    <t>Rs.Cr</t>
  </si>
  <si>
    <t>OERC FORM  TRF-24</t>
  </si>
  <si>
    <t>OERC FORM TRF-1</t>
  </si>
  <si>
    <t>Plant and  Machinery: 
(Other Civil Work)</t>
  </si>
  <si>
    <t>Plant and  Machinery:
(Lines, Cables &amp; Network)</t>
  </si>
  <si>
    <t>182.63+24.17</t>
  </si>
  <si>
    <t>Repayment of Principal as per TRF-3</t>
  </si>
  <si>
    <t>3% increase</t>
  </si>
  <si>
    <t>185*12000+104*10000</t>
  </si>
  <si>
    <t>Rs.147.13 Crore</t>
  </si>
  <si>
    <t>81.69+65.44</t>
  </si>
  <si>
    <t>Note: As per the GoO Notification no.1068, 29-1-2003, the reasonable return is taken as Nil till the Sector become Viable.</t>
  </si>
  <si>
    <t>TRFs</t>
  </si>
  <si>
    <t>Status</t>
  </si>
  <si>
    <t>TRF-1</t>
  </si>
  <si>
    <t>Information on Block of Capital</t>
  </si>
  <si>
    <t>TRF-2</t>
  </si>
  <si>
    <t>TRF-3</t>
  </si>
  <si>
    <t>Loan Position &amp; Interest</t>
  </si>
  <si>
    <t>TRF-4</t>
  </si>
  <si>
    <t>Cost of Power</t>
  </si>
  <si>
    <t>TRF-5</t>
  </si>
  <si>
    <t>ARR</t>
  </si>
  <si>
    <t>TRF-6</t>
  </si>
  <si>
    <t>TRF-7</t>
  </si>
  <si>
    <t>TRF-8</t>
  </si>
  <si>
    <t>Related to Distcos</t>
  </si>
  <si>
    <t>TRF-9</t>
  </si>
  <si>
    <t>Statement of sundry Debtors</t>
  </si>
  <si>
    <t>TRF-10</t>
  </si>
  <si>
    <t>Inventory Information</t>
  </si>
  <si>
    <t>TRF-11</t>
  </si>
  <si>
    <t>TRF-12</t>
  </si>
  <si>
    <t>TRF-13</t>
  </si>
  <si>
    <t>TRF-14</t>
  </si>
  <si>
    <t>R &amp; M Cost</t>
  </si>
  <si>
    <t>TRF-15</t>
  </si>
  <si>
    <t>A &amp; G Cost</t>
  </si>
  <si>
    <t>TRF-16</t>
  </si>
  <si>
    <t>Report on Secured Loan</t>
  </si>
  <si>
    <t>TRF-17</t>
  </si>
  <si>
    <t>Report on CWIP</t>
  </si>
  <si>
    <t>TRF-18</t>
  </si>
  <si>
    <t>Inspection Fees</t>
  </si>
  <si>
    <t>Intra State Wheeling (NALCO &amp; ICCL)</t>
  </si>
  <si>
    <t>Premium under Group Insurance scheme</t>
  </si>
  <si>
    <t>Uniform &amp; Liveries</t>
  </si>
  <si>
    <t>OERC FORM TRF-6</t>
  </si>
  <si>
    <t>CALCULATION OF CLEAR PROFIT FOR THE ENSUING FINANCIAL YEARS</t>
  </si>
  <si>
    <t>FY-10-11
 (Estt)</t>
  </si>
  <si>
    <t>AS PER THE SCHEDULE VI OF ELECTRICITY SUPPLY ACT, 1948</t>
  </si>
  <si>
    <t>PARA  - XVII (2)</t>
  </si>
  <si>
    <t>Income derived from :</t>
  </si>
  <si>
    <t>(A)</t>
  </si>
  <si>
    <t xml:space="preserve"> less: discounts applicable thereto</t>
  </si>
  <si>
    <t>Interest on Working capital</t>
  </si>
  <si>
    <t>Details of Actuarial Valuation:</t>
  </si>
  <si>
    <t>31.03.2010</t>
  </si>
  <si>
    <t xml:space="preserve">Pension </t>
  </si>
  <si>
    <t>Leave Encashment</t>
  </si>
  <si>
    <t>Increase in Liability</t>
  </si>
  <si>
    <t>Carry Forward Deficit as per ARR 2008-09</t>
  </si>
  <si>
    <t>1/3rd of above</t>
  </si>
  <si>
    <t>Rs in Crore</t>
  </si>
  <si>
    <t xml:space="preserve">Less:Opening </t>
  </si>
  <si>
    <t>Carrying Cost @ 8.5 % on 43.88</t>
  </si>
  <si>
    <t>The Provisional value approved by OERC</t>
  </si>
  <si>
    <t>Actual Valuation by Actuary as on 31.03.2008</t>
  </si>
  <si>
    <t>Difference</t>
  </si>
  <si>
    <t>Leave Encashment &amp; Other Terminal Benefit</t>
  </si>
  <si>
    <t>N.B Transmission cost of 15.79 MU  (16325.79-16310.00) MU calculated @ 41.41 paise per unit.</t>
  </si>
  <si>
    <t>Inter State Sale</t>
  </si>
  <si>
    <t>****</t>
  </si>
  <si>
    <t>Rents less out goings otherwise provided for</t>
  </si>
  <si>
    <t>Transfer fees</t>
  </si>
  <si>
    <t>Investment fixed &amp; call deposits &amp; bank balance</t>
  </si>
  <si>
    <t>vii)</t>
  </si>
  <si>
    <t>Other receivable</t>
  </si>
  <si>
    <t>Instalments of written down amounts in respect of intangible asset and new capital issue expenses</t>
  </si>
  <si>
    <t>v.a)</t>
  </si>
  <si>
    <t>Contribution to Development Reserve, referred to in para</t>
  </si>
  <si>
    <t>v.b)</t>
  </si>
  <si>
    <t>Debt redemption obligation</t>
  </si>
  <si>
    <t>Other special appropriation permitted by the State Govt.</t>
  </si>
  <si>
    <t>Total of (C) (i to vi)</t>
  </si>
  <si>
    <t>CLEAR PROFIT (A-B-C)</t>
  </si>
  <si>
    <t xml:space="preserve">Reasonable Return </t>
  </si>
  <si>
    <t>FY-12-13as per budget</t>
  </si>
  <si>
    <t>FY-12-13as per OERC</t>
  </si>
  <si>
    <t>DETAILS OF TERMINAL LIABILITY</t>
  </si>
  <si>
    <t>Leave</t>
  </si>
  <si>
    <t>Amount in Crore</t>
  </si>
  <si>
    <t>Approved upto2011-12</t>
  </si>
  <si>
    <t>Approved in 2012-13</t>
  </si>
  <si>
    <t>Approved upto 12-13</t>
  </si>
  <si>
    <t>PF*</t>
  </si>
  <si>
    <t>*</t>
  </si>
  <si>
    <t>450employee (9300-Basic+4600-GP+72%DA)*10%</t>
  </si>
  <si>
    <t>As per proj. Actuarial Valuation as on 31.03.2014</t>
  </si>
  <si>
    <t>To be claimed</t>
  </si>
  <si>
    <t>Capitalisation</t>
  </si>
  <si>
    <t>Deposit Works 22%</t>
  </si>
  <si>
    <t>AS per Budget</t>
  </si>
  <si>
    <t>AS per OERC</t>
  </si>
  <si>
    <t>As per Budjet</t>
  </si>
  <si>
    <t>Licencee :ODISHA POWER TRANSMISSION CORPORATION LIMITED.</t>
  </si>
  <si>
    <t>Rate/Unit</t>
  </si>
  <si>
    <t>FOR THE F.Y.2011-12 (Actual)</t>
  </si>
  <si>
    <t>Licencee : ….ODISHA TRANSMISSION CORPORATION LIMITED.</t>
  </si>
  <si>
    <t>Excess or deficit of clear profit over reasonable return</t>
  </si>
  <si>
    <t>Cost of units lost in the system</t>
  </si>
  <si>
    <t>5</t>
  </si>
  <si>
    <t>SL NO</t>
  </si>
  <si>
    <t>UNIT</t>
  </si>
  <si>
    <t>RS .CR.</t>
  </si>
  <si>
    <t>Total Cost of Transmission</t>
  </si>
  <si>
    <t xml:space="preserve">Units Received into the system </t>
  </si>
  <si>
    <t>MU</t>
  </si>
  <si>
    <t>%</t>
  </si>
  <si>
    <t>GRAND TOTAL</t>
  </si>
  <si>
    <t>Increase in addition of asset during 07-08</t>
  </si>
  <si>
    <t xml:space="preserve">Int due during the year </t>
  </si>
  <si>
    <t xml:space="preserve">Less: Capitalisation </t>
  </si>
  <si>
    <t>Secured</t>
  </si>
  <si>
    <t>Unsecured</t>
  </si>
  <si>
    <t>90% Loan from PFC/REC</t>
  </si>
  <si>
    <t>10% Short Term Loan</t>
  </si>
  <si>
    <t>2009-10</t>
  </si>
  <si>
    <t>FY-06-07 
(Actual)</t>
  </si>
  <si>
    <t>FY-06-07 (Actual)</t>
  </si>
  <si>
    <t>Inter State Wheeling of Power</t>
  </si>
  <si>
    <t>Intra State Wheeling of Power</t>
  </si>
  <si>
    <t>Delay Payment Surcharge</t>
  </si>
  <si>
    <t>Total of (A) (i to vii)</t>
  </si>
  <si>
    <t>Expenditure properly incurred on :</t>
  </si>
  <si>
    <t>EMPLOYEES COST INCLUDING TERMINAL BENEFITS</t>
  </si>
  <si>
    <t>Rs.in Crore</t>
  </si>
  <si>
    <t>Assumptions 
(% increase over 
Last FY)</t>
  </si>
  <si>
    <t>Loan Balance</t>
  </si>
  <si>
    <t>31.03.09</t>
  </si>
  <si>
    <t>Net Amount as AAD</t>
  </si>
  <si>
    <t>Salary</t>
  </si>
  <si>
    <t>New recruitment</t>
  </si>
  <si>
    <t xml:space="preserve">Arrear Pay revision </t>
  </si>
  <si>
    <t>Break up of Terminal Benefit(2009-10)</t>
  </si>
  <si>
    <t>Approved by OERC As On 31.03.2008</t>
  </si>
  <si>
    <t>Actual as per Actuarial valuation(B)</t>
  </si>
  <si>
    <t>(B-A)</t>
  </si>
  <si>
    <t>(I)</t>
  </si>
  <si>
    <t>(II)</t>
  </si>
  <si>
    <t>(III)</t>
  </si>
  <si>
    <t xml:space="preserve">Details of Depreciation as per Companies Act </t>
  </si>
  <si>
    <t>As per TRF-2 Format(CERC Norm)</t>
  </si>
  <si>
    <t>Dep. As per Audited Accounts</t>
  </si>
  <si>
    <t>Projection for FY 2009-10</t>
  </si>
  <si>
    <t>10% increase</t>
  </si>
  <si>
    <t>(Rs.5,87000 per month)</t>
  </si>
  <si>
    <t>OERC approval for 08-09</t>
  </si>
  <si>
    <t>For FY 07-08 (as per provisional accounts)</t>
  </si>
  <si>
    <t>For FY 06-07 (as per Audited accounts)</t>
  </si>
  <si>
    <t xml:space="preserve">Statement of Contingency Reserve </t>
  </si>
  <si>
    <t>LOAN &amp; INTEREST PAYABLE</t>
  </si>
  <si>
    <t>d) Amortisation of approved investment for restoring damages due to cyclone.</t>
  </si>
  <si>
    <t>Rents, rates &amp; taxes, other than all taxed on income and profit</t>
  </si>
  <si>
    <t xml:space="preserve">Interest on loan advanced by Board </t>
  </si>
  <si>
    <t>iv.a)</t>
  </si>
  <si>
    <t>iv.b)</t>
  </si>
  <si>
    <t>Legal charges</t>
  </si>
  <si>
    <t>Bad debts</t>
  </si>
  <si>
    <t>viii)</t>
  </si>
  <si>
    <t>Auditors fees</t>
  </si>
  <si>
    <t>ix)</t>
  </si>
  <si>
    <t>x)</t>
  </si>
  <si>
    <t>xi)</t>
  </si>
  <si>
    <t>xii)</t>
  </si>
  <si>
    <t>Contribution to P.F., staff pension and gratuity</t>
  </si>
  <si>
    <t>xii.a)</t>
  </si>
  <si>
    <t>xiii)</t>
  </si>
  <si>
    <t>xiv)</t>
  </si>
  <si>
    <t>Fringe benefit Tax</t>
  </si>
  <si>
    <t>Total expenditure i.e. total of (B) (i to xiii)</t>
  </si>
  <si>
    <t>(C)</t>
  </si>
  <si>
    <t>Special appropriation to cover :</t>
  </si>
  <si>
    <t>Previous losses</t>
  </si>
  <si>
    <t>All tax on income and profits</t>
  </si>
  <si>
    <t>(As on 01-4-13)</t>
  </si>
  <si>
    <t>Short Term Loans for New Projects from Banks</t>
  </si>
  <si>
    <t>Floating w.e.f 01.08.11</t>
  </si>
  <si>
    <t>Revenue from Inter State Wheeling</t>
  </si>
  <si>
    <t>Revenue from Wheeling to CPP's</t>
  </si>
  <si>
    <t>Sl. No</t>
  </si>
  <si>
    <t xml:space="preserve">Statement showing Calculation of Provision for Bad &amp; Doubtful Debtors on Wheeling sale </t>
  </si>
  <si>
    <t>2000-01</t>
  </si>
  <si>
    <t>FY-11-12 (Prov)</t>
  </si>
  <si>
    <t>Units for Inter State Sale &amp; OPEN Access</t>
  </si>
  <si>
    <t>WORKING OF BALANCE SHHET</t>
  </si>
  <si>
    <t>RESERVE &amp; SURPLUS</t>
  </si>
  <si>
    <t>ADD:- PROFIT &amp; LOSS</t>
  </si>
  <si>
    <t>Trade Payable</t>
  </si>
  <si>
    <t>Intersst Accrued and Due</t>
  </si>
  <si>
    <t>others</t>
  </si>
  <si>
    <t>Suuply of Material</t>
  </si>
  <si>
    <t>Liability of Work</t>
  </si>
  <si>
    <t>Lib Exp</t>
  </si>
  <si>
    <t>Other Accrued intetse due on bowwowing &amp; others</t>
  </si>
  <si>
    <t>Finance Charge &amp; Others</t>
  </si>
  <si>
    <t>Long Term Employee Benefit</t>
  </si>
  <si>
    <t>Short Term Employee Benefit</t>
  </si>
  <si>
    <t>% of provision (item 6 expressed as a percentage of item 4)</t>
  </si>
  <si>
    <t>Energy Transmitted through the system</t>
  </si>
  <si>
    <t>COST AT EHT</t>
  </si>
  <si>
    <t xml:space="preserve"> Cost of Purchase of Energy</t>
  </si>
  <si>
    <t>PFC Loan (New)</t>
  </si>
  <si>
    <t>No of days gross receivable represents to sales Revenue</t>
  </si>
  <si>
    <t xml:space="preserve">Provision  for bad and doubtful debts </t>
  </si>
  <si>
    <t>PERIOD-</t>
  </si>
  <si>
    <t>ACTUALS FOR PREVIOUS YEAR</t>
  </si>
  <si>
    <t>As per Actuarial valuation</t>
  </si>
  <si>
    <t>Construction of 4th Auto at  Chandaka</t>
  </si>
  <si>
    <t>Shifting of 132kV Chandaka SC Line (CKT 1&amp; 4) crossing through P.No.391,392 &amp;4622 under Gadkon Mouza ) ( Deposit Work)</t>
  </si>
  <si>
    <t>Diversion of 132kV Lines from Loc.No.30 to Loc. No.39 PPT line ( Deposit Work)</t>
  </si>
  <si>
    <t>132/33kV s/s at Barapalli with associated lines</t>
  </si>
  <si>
    <t xml:space="preserve">132kV Hirakud LIlO  Chipilima-Bergarh Line </t>
  </si>
  <si>
    <t>diff 6= (4-2)</t>
  </si>
  <si>
    <t>diff 7= (4-3)</t>
  </si>
  <si>
    <t>2008-09</t>
  </si>
  <si>
    <t>132KV Line from Jagatsinghpur to Paradeep</t>
  </si>
  <si>
    <t>220/132kV s/s  at Bolangir</t>
  </si>
  <si>
    <t>D.A Rates w.e.f 1.1.2006</t>
  </si>
  <si>
    <t>1.1.12 - 65 %</t>
  </si>
  <si>
    <t>1.7.12 - 72 %</t>
  </si>
  <si>
    <t>Current Year – 2012-13</t>
  </si>
  <si>
    <t>Previous Year 2011-12</t>
  </si>
  <si>
    <t>Current Year-2012-13</t>
  </si>
  <si>
    <t>Ensuing Year 2013-14</t>
  </si>
  <si>
    <t>Closing WIP as on   31-03-12</t>
  </si>
  <si>
    <t xml:space="preserve">   Expenditure During the F.Y 2012-13        </t>
  </si>
  <si>
    <t>220KV Dc Line Duburi old-Duburi new</t>
  </si>
  <si>
    <t xml:space="preserve">Conversion of 132/11 KV Grid S/s to 2*40 MVA 132/33 KV S/s 2*40 MVA 132 KV S/s at Sarasamal at jharsuguda </t>
  </si>
  <si>
    <t>Basta</t>
  </si>
  <si>
    <t>Karanjia</t>
  </si>
  <si>
    <t>Baripada</t>
  </si>
  <si>
    <t>400 Kv DC Line  Meramindali Duburi</t>
  </si>
  <si>
    <t xml:space="preserve">      -do-</t>
  </si>
  <si>
    <t>Bhadrak</t>
  </si>
  <si>
    <t>Dabugaon</t>
  </si>
  <si>
    <t>Nuapada</t>
  </si>
  <si>
    <t>Bhawanipatana</t>
  </si>
  <si>
    <t>Boudh</t>
  </si>
  <si>
    <t>Kuchinda</t>
  </si>
  <si>
    <t>Padampur</t>
  </si>
  <si>
    <t>Bhudipadar-Bolangir</t>
  </si>
  <si>
    <t>Batipada</t>
  </si>
  <si>
    <t xml:space="preserve">400 Kv DC Line </t>
  </si>
  <si>
    <t>10 Year</t>
  </si>
  <si>
    <t>3 Year</t>
  </si>
  <si>
    <t>15 Year</t>
  </si>
  <si>
    <t>2/12.5 MVA, 132/33 KV S/s at Udala with LILO Arrangement of Balasore -Baripada lines.</t>
  </si>
  <si>
    <t>Conversionof 132 KV SC line from Sonpur to Boudh.</t>
  </si>
  <si>
    <t>132 KV Line from Gundichapada to Joranda</t>
  </si>
  <si>
    <t xml:space="preserve">Contuction of 220/32 KV S/s at Meramundali </t>
  </si>
  <si>
    <t>2nd Circuit stringing from Badagada to Narsinghpur</t>
  </si>
  <si>
    <t>132 KV Dc line fron Dhutra to Kuchinda</t>
  </si>
  <si>
    <r>
      <t xml:space="preserve">Constn. of 2x40 MVA 132/33 kv s/s at </t>
    </r>
    <r>
      <rPr>
        <b/>
        <sz val="11"/>
        <rFont val="Bitstream Charter"/>
        <family val="1"/>
      </rPr>
      <t xml:space="preserve">Marshaghai ( Luna) </t>
    </r>
    <r>
      <rPr>
        <sz val="11"/>
        <rFont val="Bitstream Charter"/>
        <family val="1"/>
      </rPr>
      <t xml:space="preserve"> by making LILO arrangement from 1 circuit of existing 132 kv Kendrapara -Paradeep DC line</t>
    </r>
  </si>
  <si>
    <t>400 KV S/s at Paradeep</t>
  </si>
  <si>
    <t>400 KV S/s at Kuarnmunda</t>
  </si>
  <si>
    <t>400 KV S/s at Joda</t>
  </si>
  <si>
    <t>400 KV DC line from Paradeep to Utara</t>
  </si>
  <si>
    <r>
      <t xml:space="preserve">2x12.5 MVA, 132/33 KV S/S </t>
    </r>
    <r>
      <rPr>
        <b/>
        <sz val="12"/>
        <rFont val="Bitstream Charter"/>
        <family val="1"/>
      </rPr>
      <t>Bangiriposi</t>
    </r>
    <r>
      <rPr>
        <sz val="12"/>
        <rFont val="Bitstream Charter"/>
        <family val="1"/>
      </rPr>
      <t xml:space="preserve"> with LILO 1 Circuit Kuchei-Rairangpur line. (20 Kms.)</t>
    </r>
  </si>
  <si>
    <r>
      <t xml:space="preserve">2x12.5 MVA, 132/33 KV S/S at </t>
    </r>
    <r>
      <rPr>
        <b/>
        <sz val="12"/>
        <rFont val="Bitstream Charter"/>
        <family val="1"/>
      </rPr>
      <t>Potangi</t>
    </r>
    <r>
      <rPr>
        <sz val="12"/>
        <rFont val="Bitstream Charter"/>
        <family val="1"/>
      </rPr>
      <t xml:space="preserve"> with S/C line on D/C tower for Sunabeda. (32 Kms.)</t>
    </r>
  </si>
  <si>
    <r>
      <t xml:space="preserve">2x12.5 MVA, 132/33 KV S/S at </t>
    </r>
    <r>
      <rPr>
        <b/>
        <sz val="12"/>
        <rFont val="Bitstream Charter"/>
        <family val="1"/>
      </rPr>
      <t>Podagada</t>
    </r>
    <r>
      <rPr>
        <sz val="12"/>
        <rFont val="Bitstream Charter"/>
        <family val="1"/>
      </rPr>
      <t xml:space="preserve"> with LILO Rayagada-Jeypore line. (10 Kms.)</t>
    </r>
  </si>
  <si>
    <r>
      <t xml:space="preserve">2x20 MVA, 220/33 KV S/S at </t>
    </r>
    <r>
      <rPr>
        <b/>
        <sz val="12"/>
        <rFont val="Bitstream Charter"/>
        <family val="1"/>
      </rPr>
      <t>Malkanagiri</t>
    </r>
    <r>
      <rPr>
        <sz val="12"/>
        <rFont val="Bitstream Charter"/>
        <family val="1"/>
      </rPr>
      <t xml:space="preserve"> with LILO Balimela-Jayanagar line.     (15 Kms.)</t>
    </r>
  </si>
  <si>
    <r>
      <t xml:space="preserve">2x12.5 MVA, 132/33KV S/S at </t>
    </r>
    <r>
      <rPr>
        <b/>
        <sz val="12"/>
        <rFont val="Bitstream Charter"/>
        <family val="1"/>
      </rPr>
      <t>Umarkote</t>
    </r>
    <r>
      <rPr>
        <sz val="12"/>
        <rFont val="Bitstream Charter"/>
        <family val="1"/>
      </rPr>
      <t xml:space="preserve"> with S/C line on D/C tower from Dabugaon to Umarkote. (30 Kms.)</t>
    </r>
  </si>
  <si>
    <t xml:space="preserve">E </t>
  </si>
  <si>
    <t>xv)</t>
  </si>
  <si>
    <t>Material/WIP Written Off</t>
  </si>
  <si>
    <r>
      <t xml:space="preserve">2x12.5 MVA, 220/33 KV S/S at </t>
    </r>
    <r>
      <rPr>
        <b/>
        <sz val="12"/>
        <rFont val="Bitstream Charter"/>
        <family val="1"/>
      </rPr>
      <t>Kasipur</t>
    </r>
    <r>
      <rPr>
        <sz val="12"/>
        <rFont val="Bitstream Charter"/>
        <family val="1"/>
      </rPr>
      <t xml:space="preserve"> with LILO one circuit Indravati-Theruvali 220kv D/C line. (2.0 Kms.)</t>
    </r>
  </si>
  <si>
    <r>
      <t xml:space="preserve">2x20 MVA, 220/33kV S/s at </t>
    </r>
    <r>
      <rPr>
        <b/>
        <sz val="12"/>
        <rFont val="Bitstream Charter"/>
        <family val="1"/>
      </rPr>
      <t>Jaypatna</t>
    </r>
    <r>
      <rPr>
        <sz val="12"/>
        <rFont val="Bitstream Charter"/>
        <family val="1"/>
      </rPr>
      <t xml:space="preserve"> with associated line.   (14 Kms.)</t>
    </r>
  </si>
  <si>
    <r>
      <t xml:space="preserve">132kV D/C line from </t>
    </r>
    <r>
      <rPr>
        <b/>
        <sz val="13"/>
        <rFont val="Bitstream Charter"/>
        <family val="1"/>
      </rPr>
      <t xml:space="preserve">Junagarh to Umerkote </t>
    </r>
    <r>
      <rPr>
        <sz val="13"/>
        <rFont val="Bitstream Charter"/>
        <family val="1"/>
      </rPr>
      <t>(40 Kms.)</t>
    </r>
  </si>
  <si>
    <r>
      <t xml:space="preserve">2x12.5 MVA, 132/33kV S/s at </t>
    </r>
    <r>
      <rPr>
        <b/>
        <sz val="12"/>
        <rFont val="Bitstream Charter"/>
        <family val="1"/>
      </rPr>
      <t>Kantabanji</t>
    </r>
    <r>
      <rPr>
        <sz val="12"/>
        <rFont val="Bitstream Charter"/>
        <family val="1"/>
      </rPr>
      <t xml:space="preserve"> with S/C line on D/C tower from Khariar to Kantabanji. (35 Kms.)</t>
    </r>
  </si>
  <si>
    <r>
      <t xml:space="preserve">2x20 MVA, 132/33kV S/s at </t>
    </r>
    <r>
      <rPr>
        <b/>
        <sz val="11"/>
        <rFont val="Bitstream Charter"/>
        <family val="1"/>
      </rPr>
      <t>Champua</t>
    </r>
    <r>
      <rPr>
        <sz val="11"/>
        <rFont val="Bitstream Charter"/>
        <family val="1"/>
      </rPr>
      <t xml:space="preserve"> with LILO arrangement of existing Palaspanga- Rairangpur to Champua. (9 Kms.)</t>
    </r>
  </si>
  <si>
    <t>2*20 MVA 132/33 KV Grid S/s at Ghatagaon in Keonjhar distict with associated 132 KV Sc line on DC tower from 132/33 KV Grid S/s Anandpur to proposed Grid S/s at Ghatagaon and one no. 132 KV Bay extention at Anandapur Grid S/s  (38.85 KMs)</t>
  </si>
  <si>
    <r>
      <t xml:space="preserve">Construction  of   132 KV D/C line from proposed 220/132/33 KV S/S at </t>
    </r>
    <r>
      <rPr>
        <b/>
        <sz val="12"/>
        <rFont val="Bitstream Charter"/>
        <family val="1"/>
      </rPr>
      <t>Dhamara to</t>
    </r>
    <r>
      <rPr>
        <sz val="12"/>
        <rFont val="Bitstream Charter"/>
        <family val="1"/>
      </rPr>
      <t xml:space="preserve"> proposed 132/33 KV S/S at </t>
    </r>
    <r>
      <rPr>
        <b/>
        <sz val="12"/>
        <rFont val="Bitstream Charter"/>
        <family val="1"/>
      </rPr>
      <t xml:space="preserve">Olavar </t>
    </r>
    <r>
      <rPr>
        <sz val="12"/>
        <rFont val="Bitstream Charter"/>
        <family val="1"/>
      </rPr>
      <t>&amp; re-arrangement with proposed 132 KV D/C line from Pattamundai to Olavar to make 132 KV S/C line from Dhamara to Pattamundai &amp; 132 KV S/C line from Olavar to Pattamundai.</t>
    </r>
  </si>
  <si>
    <r>
      <t xml:space="preserve">2X20 MVA 132/33kV Substation at </t>
    </r>
    <r>
      <rPr>
        <b/>
        <sz val="12"/>
        <rFont val="Bitstream Charter"/>
        <family val="1"/>
      </rPr>
      <t>Muniguda</t>
    </r>
    <r>
      <rPr>
        <sz val="12"/>
        <rFont val="Bitstream Charter"/>
        <family val="1"/>
      </rPr>
      <t xml:space="preserve"> with 132kV line from Vedanta Lanjigarh a with 132kV Bay extension at Lanjigarh (25KM)</t>
    </r>
  </si>
  <si>
    <t>2*20 MVA 132/33 KV Grid S/s at Satasankha in puri disrict with associated 132 KV DC line from proposed 220/132 KV Puri Grid S/s to proposed 132/33 KV S/s at Satasankha.</t>
  </si>
  <si>
    <t>2*20 MVA 132/33 KV Grid S/s at Bhograin in Balasore distict with associated 132 KV LILO line from one circuit of proposed 132 KV Kuchei (PGCIL) - Jaleswar DC line.</t>
  </si>
  <si>
    <t xml:space="preserve">220/33 KV 2/20 MVA Grid S/s at Deogarh with associated LILO line from LOC No. 330 of 220 KV Rengali Tarekera DC line. </t>
  </si>
  <si>
    <t>132/33 KV 2*20 MVA Grid S/s at Maneswar with associated LILO line from 132 KV Sambalpur - Rairakhol SC line.</t>
  </si>
  <si>
    <t>Conversion of 132 KV Switching station at Somanthpur Balasore 2*20 MVA 132/33 KV S/s  .</t>
  </si>
  <si>
    <t>Conversion of existing 132 KV SC line from Balasore to Somathpur  DC line by stringing 2nd circuit with one No 132 KV Bay extension at both end</t>
  </si>
  <si>
    <t>Renovation of exsting 132/33 KV S/s at Ganjam (Const,. Of 2*12.5 MVA, 132/33 KV S/s )</t>
  </si>
  <si>
    <t>Chandaka Nimapara Cabling (IDCO)</t>
  </si>
  <si>
    <t xml:space="preserve">Construction of 220 KV DC line to Rungta mines </t>
  </si>
  <si>
    <t>Construction of Railway traction from Khagadpur to Bhubnaeswar</t>
  </si>
  <si>
    <t>construction of 2 nos. 33 KV bay and diversion of 132 Kv sc line Mancheswar - Badagada</t>
  </si>
  <si>
    <t>33 KV bay extention for Aftab Solar power ltd.</t>
  </si>
  <si>
    <t>Diversion nof 18 nos. EHT tower of 132 KV sc line from Manabar to Jayanagar of Telengiri irrigation project</t>
  </si>
  <si>
    <t>Constuction of 132 KV SC line Grid S/s at Khariar to proposed 132 KV S/s at Nuapada</t>
  </si>
  <si>
    <t>132/33 KV Grid S/s at Mania, Tangi for IDCO and construction of associated 132 KV LILO line from 132 KV ICCL-Salipur LILO at OCL to proposed 132/33 KV Grid S/s at Mania Tangi.</t>
  </si>
  <si>
    <t>Construction of 2*40 MVA, 220/33 KV Gas Insulated Sub-station at infocity-II and associated 220 KV LILO line from one of 220 KV Narendrapur -Mendhasal DC line.</t>
  </si>
  <si>
    <t>salary P.M.((9300+4600)* 1.72(DA)) *(NPS contribution)10%*12 month)*450(new recruitees)</t>
  </si>
  <si>
    <t xml:space="preserve">The amount carried forward (at the beginning of the year of accounting) in the accounts of the Licensee for distribution </t>
  </si>
  <si>
    <t>LT Metering</t>
  </si>
  <si>
    <t xml:space="preserve">EHT Metering </t>
  </si>
  <si>
    <t>a)</t>
  </si>
  <si>
    <t>b)</t>
  </si>
  <si>
    <t>Loan availed during 3 years(Including infrastructure Loan)</t>
  </si>
  <si>
    <t>(Rs. In Crores)</t>
  </si>
  <si>
    <t xml:space="preserve">Total </t>
  </si>
  <si>
    <t xml:space="preserve">Loan Outstanding as on </t>
  </si>
  <si>
    <t>O&amp; M</t>
  </si>
  <si>
    <t xml:space="preserve">A &amp;G </t>
  </si>
  <si>
    <t>Less: Expenses Capitalised</t>
  </si>
  <si>
    <t>Add: increase in Terminal benefit as per</t>
  </si>
  <si>
    <t>Actuarial valuation</t>
  </si>
  <si>
    <t>Diff.</t>
  </si>
  <si>
    <t>Note: Rate of interest  UBI</t>
  </si>
  <si>
    <t>Fixed</t>
  </si>
  <si>
    <t>UCO</t>
  </si>
  <si>
    <t>OBC</t>
  </si>
  <si>
    <t>Employee Cost Details in TRF -5</t>
  </si>
  <si>
    <t>Total Employee Cost as per TRF-13</t>
  </si>
  <si>
    <t>Less: Terminal Benefits</t>
  </si>
  <si>
    <t xml:space="preserve">Less: Bonus </t>
  </si>
  <si>
    <t>Net Amount</t>
  </si>
  <si>
    <t>Administration &amp; General Expenses</t>
  </si>
  <si>
    <t>Total A&amp; G Cost as per TRF-15</t>
  </si>
  <si>
    <t>Less: Rent , rates &amp; taxes</t>
  </si>
  <si>
    <t>Auditor Fees</t>
  </si>
  <si>
    <t xml:space="preserve">rate of int 11.50 % </t>
  </si>
  <si>
    <t>Regulatory Assets</t>
  </si>
  <si>
    <t>AAD Details:</t>
  </si>
  <si>
    <t>Dep as per TRF-23</t>
  </si>
  <si>
    <t>Expenditure incurred during the Year</t>
  </si>
  <si>
    <t>j</t>
  </si>
  <si>
    <t>k</t>
  </si>
  <si>
    <t>l</t>
  </si>
  <si>
    <t>m</t>
  </si>
  <si>
    <t>n</t>
  </si>
  <si>
    <t>o</t>
  </si>
  <si>
    <t>p</t>
  </si>
  <si>
    <t>Authorised capital (Rs In crores)</t>
  </si>
  <si>
    <t>Issued capital (Rs in Crores)</t>
  </si>
  <si>
    <t>Legal charges ( shown separately from A&amp;G Expenses)</t>
  </si>
  <si>
    <t>Auditor's fees ( shown separately from A&amp;G Expense)</t>
  </si>
  <si>
    <t>Subscribed capital (Rs In Crores)</t>
  </si>
  <si>
    <t>Called-up capital (Rs In Crores)</t>
  </si>
  <si>
    <t>Paid up capital (Rs In Crores)</t>
  </si>
  <si>
    <t>Total paid up capital (Rs In crores)</t>
  </si>
  <si>
    <t>Grand Total</t>
  </si>
  <si>
    <t>Total (A+B-C)</t>
  </si>
  <si>
    <t>Other Receivables</t>
  </si>
  <si>
    <t>Other Current Liabilities</t>
  </si>
  <si>
    <t>Total Power Procurement Cost</t>
  </si>
  <si>
    <t>Less : Expenses Capitalised</t>
  </si>
  <si>
    <t>Expenses Charged to Revenue</t>
  </si>
  <si>
    <t>OERC FORM  TRF-27</t>
  </si>
  <si>
    <t>Other Current Assets</t>
  </si>
  <si>
    <t>Rate of Interest</t>
  </si>
  <si>
    <t>Principal</t>
  </si>
  <si>
    <t>2004-05</t>
  </si>
  <si>
    <t>Miscellaneous Expenditure to the extent not written off or adjusted</t>
  </si>
  <si>
    <t>2001-02</t>
  </si>
  <si>
    <t>Account Payable</t>
  </si>
  <si>
    <t>Receivable from Sale of Power</t>
  </si>
  <si>
    <t>132/33kV 40MVA trf. With associated 132 &amp; 33 KV bays at Chhend s/s</t>
  </si>
  <si>
    <t xml:space="preserve">OPTCL does not have the sophistication of compiling monthly accounts from field units. </t>
  </si>
  <si>
    <t>Actual</t>
  </si>
  <si>
    <t>Emergency Sale to CPP including NALCO &amp; ICCL</t>
  </si>
  <si>
    <t>2*100 MVA,220/132 kV S/S at Bhadrak &amp; Associated LILO Line</t>
  </si>
  <si>
    <t xml:space="preserve"> Infrastructure Loan</t>
  </si>
  <si>
    <t>1. ACTUALS FOR PREVIOUS YEAR - 2011-12</t>
  </si>
  <si>
    <t>2. ACTUALS FOR FIRST SIX MONTHS OF THE CURRENT YEAR - 2012-13</t>
  </si>
  <si>
    <t>3. EXPECTED FOR 2nd. SIX MONTHS OF THE CURRENT YEAR - 2013-14</t>
  </si>
  <si>
    <t>4. EXPECTED FOR ENSUING YEAR - 2013-14</t>
  </si>
  <si>
    <t>1. For the Previous year 2011-12 (Actual)</t>
  </si>
  <si>
    <t>2. For the current year 2012-13(Estt.)</t>
  </si>
  <si>
    <t>3.Expected for the ensuing year 2013-14 (Estt.)</t>
  </si>
  <si>
    <t>includes inresest of Rs.1.57 crore</t>
  </si>
  <si>
    <t>2011-12(Provisional.)</t>
  </si>
  <si>
    <t>2013-14(Estm.)</t>
  </si>
  <si>
    <t>OB as on 1-4-2013</t>
  </si>
  <si>
    <t>CB as on 31-3-2014</t>
  </si>
  <si>
    <t>400kV DC Line from Meramundali to Duburi</t>
  </si>
  <si>
    <t>FY-07-08 
(Actual)</t>
  </si>
  <si>
    <t>Additional fund requirement Fy 2011-12 6= (4-2)</t>
  </si>
  <si>
    <t xml:space="preserve">Additional fund requirement Fy 2010-11 </t>
  </si>
  <si>
    <t>FY-07-08 (Actual)</t>
  </si>
  <si>
    <t>400kV DC Line from Meramundali to Mendhasal</t>
  </si>
  <si>
    <t>Cash &amp; Bank Balance</t>
  </si>
  <si>
    <t>e</t>
  </si>
  <si>
    <t>Previous Year 98-99</t>
  </si>
  <si>
    <t>Current Year 00-01</t>
  </si>
  <si>
    <t>Previous Year 99-00</t>
  </si>
  <si>
    <t>Sl No</t>
  </si>
  <si>
    <t>Profit/(Loss) Transferred to Balance Sheet</t>
  </si>
  <si>
    <t>Less :Expenses Capitalised</t>
  </si>
  <si>
    <t>2006-07</t>
  </si>
  <si>
    <t>Contribution to contigency Reserve</t>
  </si>
  <si>
    <t>Actuals for First Six Months</t>
  </si>
  <si>
    <t>Projection for balance Six Months</t>
  </si>
  <si>
    <t>Detail Sheet Enclosed</t>
  </si>
  <si>
    <t>OERC FORM TRF-23</t>
  </si>
  <si>
    <t>IBRD Loan</t>
  </si>
  <si>
    <t>PFC Loan</t>
  </si>
  <si>
    <t>Against arrears upto previous year</t>
  </si>
  <si>
    <t>Against current dues</t>
  </si>
  <si>
    <t>Note:</t>
  </si>
  <si>
    <t>COMMUNICATION</t>
  </si>
  <si>
    <t>Licencee:  ODISHA TRANSMISSION CORPORATION LIMITED.</t>
  </si>
  <si>
    <t>Licencee : ODISHA POWER TRANSMISSION CORPORATION LIMITED.</t>
  </si>
  <si>
    <t>Telephone &amp; Trunk Call</t>
  </si>
  <si>
    <t>Telex, Teleprinter Charges, Telefax</t>
  </si>
  <si>
    <t>Other</t>
  </si>
  <si>
    <t>PROFESSIONAL CHARGES</t>
  </si>
  <si>
    <t xml:space="preserve">Legal expenses </t>
  </si>
  <si>
    <t>Consultancy charges</t>
  </si>
  <si>
    <t>Technical fees</t>
  </si>
  <si>
    <t>CONVEYANCE &amp; TRAVELLING</t>
  </si>
  <si>
    <t>Conveyance expenses</t>
  </si>
  <si>
    <t>Travelling expenses</t>
  </si>
  <si>
    <t>Others</t>
  </si>
  <si>
    <t>OTHER EXPENSES</t>
  </si>
  <si>
    <t>Misc income</t>
  </si>
  <si>
    <t>Fees &amp; Subscription</t>
  </si>
  <si>
    <t>Books &amp; Periodicals</t>
  </si>
  <si>
    <t>Printing &amp; Stationery</t>
  </si>
  <si>
    <t>Advertisement</t>
  </si>
  <si>
    <t>Entertainment</t>
  </si>
  <si>
    <t>Watch &amp; Ward</t>
  </si>
  <si>
    <t>Training</t>
  </si>
  <si>
    <t>MATERIAL RELATED EXPENSES</t>
  </si>
  <si>
    <t>Payment under Workmen compensation Act</t>
  </si>
  <si>
    <t>OERC FORM  TRF-14</t>
  </si>
  <si>
    <t>OERC FORM  TRF-15</t>
  </si>
  <si>
    <t>Reimbursement of Medical Expenses</t>
  </si>
  <si>
    <t>(Rs.in Crore)</t>
  </si>
  <si>
    <t>Provision for bad and doubtfull debts</t>
  </si>
  <si>
    <t>-do-</t>
  </si>
  <si>
    <t>OERC FORM  TRF-16</t>
  </si>
  <si>
    <t>NB.   Detail report combined with OERC format TRF-2</t>
  </si>
  <si>
    <t xml:space="preserve">Capitalisation </t>
  </si>
  <si>
    <t>Adjustments</t>
  </si>
  <si>
    <t>CONSOLIDATED REPORT ON SECURED/UNSECURED LOAN</t>
  </si>
  <si>
    <t>Purpose</t>
  </si>
  <si>
    <t>Date of Sanction</t>
  </si>
  <si>
    <t>Date of Drawal</t>
  </si>
  <si>
    <t>Tenure of Loan</t>
  </si>
  <si>
    <t>difference</t>
  </si>
  <si>
    <t>Total loan redeemed upto the end of the year</t>
  </si>
  <si>
    <t>Actuarial Valuation as on 31.03.2011</t>
  </si>
  <si>
    <t>Projected Actuarial Liability as on 31.03.12</t>
  </si>
  <si>
    <t>Less: Pass through for FY 2010-11</t>
  </si>
  <si>
    <t>GRAND TOTAL(8-9-10)</t>
  </si>
  <si>
    <t>Interest</t>
  </si>
  <si>
    <t>CB as on 31-3-2011</t>
  </si>
  <si>
    <t>Exchange fluctuation</t>
  </si>
  <si>
    <t>CONSOLIDATED REPORT ON CAPITAL WORK-IN-PROGRESS</t>
  </si>
  <si>
    <t>Scheme/ Job description</t>
  </si>
  <si>
    <t>Opening balance</t>
  </si>
  <si>
    <t>Additions</t>
  </si>
  <si>
    <t>Closing balance</t>
  </si>
  <si>
    <t>Last activity month</t>
  </si>
  <si>
    <t>Material</t>
  </si>
  <si>
    <t>Labour</t>
  </si>
  <si>
    <t>Contractor</t>
  </si>
  <si>
    <t>CB as on           31-3-2005</t>
  </si>
  <si>
    <t xml:space="preserve">22 % on Deposit Work </t>
  </si>
  <si>
    <t>SLDC Balance</t>
  </si>
  <si>
    <t>Balance as per A/C</t>
  </si>
  <si>
    <t>132/33 KV S/S Anandpur</t>
  </si>
  <si>
    <t>132 KV SC line Paradeep to Jagatsunghpur</t>
  </si>
  <si>
    <t>132/33 KV S/S Chandpur</t>
  </si>
  <si>
    <t>132/33 KV S/S Banki</t>
  </si>
  <si>
    <t>132/33 KV S/S Kalunga</t>
  </si>
  <si>
    <t>132/33 KV S/S Banai</t>
  </si>
  <si>
    <t>Total REC</t>
  </si>
  <si>
    <t>Total PFC</t>
  </si>
  <si>
    <t>Wage revision for FY 2010-11, 2011-12,2012-13</t>
  </si>
  <si>
    <t>48 JM*Rs.10,000 P/M and 39 AM * Rs.15,000 P.M.</t>
  </si>
  <si>
    <t>300 ITI Technician @ Rs.6,000/- P.M. (150 full year and 150 6 month)</t>
  </si>
  <si>
    <t>Provision for unidentified Assets</t>
  </si>
  <si>
    <t>Provision against theft of Material</t>
  </si>
  <si>
    <t>Preliminary expenses written off</t>
  </si>
  <si>
    <t>OB as on 1-4-2009</t>
  </si>
  <si>
    <t>CB as on 31-3-2010</t>
  </si>
  <si>
    <t>TP &amp; Cost.</t>
  </si>
  <si>
    <t>Gross Block of Fixed Assets and Dep</t>
  </si>
  <si>
    <t>14% on investment made after 31.3.99 +</t>
  </si>
  <si>
    <t>7 years</t>
  </si>
  <si>
    <t>Oriental Bank of Commerce</t>
  </si>
  <si>
    <t>Licencee : ….ORISSA POWER TRANSMISSION CORPORATION LIMITED.</t>
  </si>
  <si>
    <t xml:space="preserve">Receivable from GRIDCO &amp; others at the beginning of the year </t>
  </si>
  <si>
    <t>Gross receivable from GRIDCO &amp; others  as at the end of the year</t>
  </si>
  <si>
    <t>10=8+9</t>
  </si>
  <si>
    <t xml:space="preserve">Interest on loan borrowed from Organisation </t>
  </si>
  <si>
    <t>NB. OPTCL has not operated this reserve.</t>
  </si>
  <si>
    <t>Transfers by way of reappropriation during the year (details to be given in the remarks column)</t>
  </si>
  <si>
    <t>A/C Code</t>
  </si>
  <si>
    <t xml:space="preserve">Statement of Tariff and Dividends Control Reserve Account </t>
  </si>
  <si>
    <t>Basic</t>
  </si>
  <si>
    <t>DA</t>
  </si>
  <si>
    <t xml:space="preserve">Addition during the Year </t>
  </si>
  <si>
    <t>Addition during the Year(CERC Rates)</t>
  </si>
  <si>
    <t>Unutilised Leave</t>
  </si>
  <si>
    <t xml:space="preserve">As per Performance Budget estimate of </t>
  </si>
  <si>
    <t xml:space="preserve">For the Year Ended 31st March …… </t>
  </si>
  <si>
    <t>Revenue from Wheeling of Power(DISCOMs)</t>
  </si>
  <si>
    <t>Appropriated during the year</t>
  </si>
  <si>
    <t>Withdrawn during the year (Purpose to be indicated in the remark Column)</t>
  </si>
  <si>
    <t>Balance at the Beginning of the Year 11-12</t>
  </si>
  <si>
    <t>Balance at the end of the Year 11-12</t>
  </si>
  <si>
    <t>FIXED ASSETS</t>
  </si>
  <si>
    <t>Withdrawals during the year (Purpose to be indicated in the remark column)</t>
  </si>
  <si>
    <t>Fixed Assets</t>
  </si>
  <si>
    <t>Gross Block</t>
  </si>
  <si>
    <t>Depreciation</t>
  </si>
  <si>
    <t>Net Block</t>
  </si>
  <si>
    <t>Land and  Rights</t>
  </si>
  <si>
    <t>Buildings</t>
  </si>
  <si>
    <t>Licence Fee (OERC)</t>
  </si>
  <si>
    <t>Plant and  Machinery</t>
  </si>
  <si>
    <t>Vehicles</t>
  </si>
  <si>
    <t>Furniture, Fixture</t>
  </si>
  <si>
    <t>Office Equipment</t>
  </si>
  <si>
    <t>I.</t>
  </si>
  <si>
    <t>SOURCES OF FUNDS</t>
  </si>
  <si>
    <t>Previous Year-2006-07</t>
  </si>
  <si>
    <t>Current Year - 2007-08</t>
  </si>
  <si>
    <t>Pension</t>
  </si>
  <si>
    <t>Gratuity</t>
  </si>
  <si>
    <t>PF</t>
  </si>
  <si>
    <t>Leave Encashment &amp; other terminal Benefits</t>
  </si>
  <si>
    <t>Interest &amp; Finance Charges</t>
  </si>
  <si>
    <t>Profit before tax for the year</t>
  </si>
  <si>
    <t>Profit After Tax</t>
  </si>
  <si>
    <t>Balance of profit and loss account  brought forward from last year</t>
  </si>
  <si>
    <t>Statutory reserves and Appropriations</t>
  </si>
  <si>
    <t>Amount available for distribution &amp; transfer to general reserve</t>
  </si>
  <si>
    <t>Proposed Dividend</t>
  </si>
  <si>
    <t>Corporate Tax on Dividend</t>
  </si>
  <si>
    <t>Transfer to General Reserve</t>
  </si>
  <si>
    <t>Balance carried to Balance Sheet</t>
  </si>
  <si>
    <t xml:space="preserve"> Over-time</t>
  </si>
  <si>
    <t>Dearness Allowance</t>
  </si>
  <si>
    <t xml:space="preserve"> No. of employees per 1000 consumers</t>
  </si>
  <si>
    <t>SL.NO.</t>
  </si>
  <si>
    <t xml:space="preserve">                     THE APPROPRIATE AUTHORITY FOR THE YEAR ENDED ………………….</t>
  </si>
  <si>
    <t>INFORMATION ON BLOCK CAPITAL</t>
  </si>
  <si>
    <t>Rs. in Crores</t>
  </si>
  <si>
    <t>A.</t>
  </si>
  <si>
    <t>beginning of the year</t>
  </si>
  <si>
    <t>(a) On completed works</t>
  </si>
  <si>
    <t>Sub Total :</t>
  </si>
  <si>
    <t>(b) On works in progress</t>
  </si>
  <si>
    <t>B.</t>
  </si>
  <si>
    <t>C.</t>
  </si>
  <si>
    <t>Asset withdrawn, if any</t>
  </si>
  <si>
    <t>1996-97</t>
  </si>
  <si>
    <t>FY-08-09 
(Actual.)</t>
  </si>
  <si>
    <t>OB as on 01-04-1996</t>
  </si>
  <si>
    <t>Addition during the Year</t>
  </si>
  <si>
    <t>Sales/Adjustments during the year</t>
  </si>
  <si>
    <t>1997-98</t>
  </si>
  <si>
    <t>CB as on 31-3-1997</t>
  </si>
  <si>
    <t>CB as on 31-3-1998</t>
  </si>
  <si>
    <t>CB as on 31-3-1999</t>
  </si>
  <si>
    <t>CB as on 31-3-2000</t>
  </si>
  <si>
    <t>2007-08 (Actual.)</t>
  </si>
  <si>
    <t>2006-07(Actual)</t>
  </si>
  <si>
    <t>Total EHT Loss for Intra State Drawal in %</t>
  </si>
  <si>
    <t>Transferred from Gridco as on 1-4-2005</t>
  </si>
  <si>
    <t xml:space="preserve">Sundry Debtors </t>
  </si>
  <si>
    <t>NB: This statement is not required for OPTCL</t>
  </si>
  <si>
    <t xml:space="preserve">CALCULATION OF CAPITAL BASE AND REASONABLE RETURN </t>
  </si>
  <si>
    <t>Addition during the year</t>
  </si>
  <si>
    <t>FY-04-05 (Actual)</t>
  </si>
  <si>
    <t>Workings</t>
  </si>
  <si>
    <t>Summary of Gross Fixed Assets</t>
  </si>
  <si>
    <t>Addition during the year from CWIP</t>
  </si>
  <si>
    <t>Sale/Adjustments</t>
  </si>
  <si>
    <t>DA: 72% for 2012-13 &amp; 86% for 2013-14(assume same % increase  as of last year i.e 7% during jan 2013+7% during july 13)</t>
  </si>
  <si>
    <t>Control Check</t>
  </si>
  <si>
    <t>Postage, Courier &amp; Telegram</t>
  </si>
  <si>
    <t>Provision for obsolete stock-stores(Material related expenses) etc</t>
  </si>
  <si>
    <t>Interest on loans, advanced by Gridco</t>
  </si>
  <si>
    <t>Interest on debenture issued by licensee</t>
  </si>
  <si>
    <t>V.</t>
  </si>
  <si>
    <t>VI.</t>
  </si>
  <si>
    <t>VII.</t>
  </si>
  <si>
    <t>VIII.</t>
  </si>
  <si>
    <t>IX.</t>
  </si>
  <si>
    <t>X.</t>
  </si>
  <si>
    <t>XI.</t>
  </si>
  <si>
    <t>XII.</t>
  </si>
  <si>
    <t>Special appropriation to cover</t>
  </si>
  <si>
    <t>Para XVII Clause 2(c)</t>
  </si>
  <si>
    <t>All taxes on income &amp; profits</t>
  </si>
  <si>
    <t>Installments of written down account</t>
  </si>
  <si>
    <t>in respect of intangible assets and</t>
  </si>
  <si>
    <t>new capital issue expenses</t>
  </si>
  <si>
    <t>Contribution towards arrear depreciation</t>
  </si>
  <si>
    <t>Contribution to development reserve</t>
  </si>
  <si>
    <t>Debt redemption and obligation</t>
  </si>
  <si>
    <t>Other special appropriation permitted</t>
  </si>
  <si>
    <t>i)</t>
  </si>
  <si>
    <t>ii)</t>
  </si>
  <si>
    <t>iii)</t>
  </si>
  <si>
    <t>iv)</t>
  </si>
  <si>
    <t>v)</t>
  </si>
  <si>
    <t>vi)</t>
  </si>
  <si>
    <t>(B)</t>
  </si>
  <si>
    <t>Management including managing agents remuneration</t>
  </si>
  <si>
    <t>Contribution to contingency reserve</t>
  </si>
  <si>
    <t>Note:1. No Subsidy or Grant has been received by OPTCL or Expected to be received during the current year  2012-13 and ensuing year.</t>
  </si>
  <si>
    <t xml:space="preserve">Depreciation </t>
  </si>
  <si>
    <t>Capital Base Calculated for the year 2003-04</t>
  </si>
  <si>
    <t xml:space="preserve">Balance at the beginning of the year </t>
  </si>
  <si>
    <t>CESU</t>
  </si>
  <si>
    <t>Moratorium period</t>
  </si>
  <si>
    <t>Amount of loan redeemed upto the beginning of the year</t>
  </si>
  <si>
    <t>Loan redemmed during the year</t>
  </si>
  <si>
    <t>Balance of loan at the beginning of the year</t>
  </si>
  <si>
    <t>Balance of loan at the end of the year</t>
  </si>
  <si>
    <t>Project  wise / Scheme wise Capital Expenditure</t>
  </si>
  <si>
    <t>Sl.No</t>
  </si>
  <si>
    <t>150688-1</t>
  </si>
  <si>
    <t>150688-2</t>
  </si>
  <si>
    <t>150688-3</t>
  </si>
  <si>
    <t>150688-4</t>
  </si>
  <si>
    <t>150689-1</t>
  </si>
  <si>
    <t>150689-2</t>
  </si>
  <si>
    <t>150689-3</t>
  </si>
  <si>
    <t>150689-4</t>
  </si>
  <si>
    <t>150689-5</t>
  </si>
  <si>
    <t>150690-1</t>
  </si>
  <si>
    <t>150690-2</t>
  </si>
  <si>
    <t>150690-3</t>
  </si>
  <si>
    <t>150690-4</t>
  </si>
  <si>
    <t>2350001-1</t>
  </si>
  <si>
    <t>2350001-2</t>
  </si>
  <si>
    <t>2350002-1</t>
  </si>
  <si>
    <t>2350002-2</t>
  </si>
  <si>
    <t>2350002-3</t>
  </si>
  <si>
    <t>2350002-4</t>
  </si>
  <si>
    <t>2350002-5</t>
  </si>
  <si>
    <t>2350008-1</t>
  </si>
  <si>
    <t>2350008-2</t>
  </si>
  <si>
    <t>2350009-1</t>
  </si>
  <si>
    <t>2350009-2</t>
  </si>
  <si>
    <t>2350010-1</t>
  </si>
  <si>
    <t>2350010-2</t>
  </si>
  <si>
    <t>2350011-1</t>
  </si>
  <si>
    <t>2350011-2</t>
  </si>
  <si>
    <t>2350012-1</t>
  </si>
  <si>
    <t>2350012-2</t>
  </si>
  <si>
    <t>2350013-1</t>
  </si>
  <si>
    <t>2350013-2</t>
  </si>
  <si>
    <t>2353194-1</t>
  </si>
  <si>
    <t>150690-5</t>
  </si>
  <si>
    <t>2350001-3</t>
  </si>
  <si>
    <t>House Rent allowance</t>
  </si>
  <si>
    <t xml:space="preserve">Provisions </t>
  </si>
  <si>
    <t>Other Liabilities</t>
  </si>
  <si>
    <t xml:space="preserve">Pay revision @ 30 % on above </t>
  </si>
  <si>
    <t xml:space="preserve">Calculation of Arrear </t>
  </si>
  <si>
    <t>Arrear of Employee Cost @ 30 % on above</t>
  </si>
  <si>
    <t>Total Pay revision impact to be paid in 2009-10</t>
  </si>
  <si>
    <t>(32.97+45.33+28.66)</t>
  </si>
  <si>
    <t>Pension Trust Bond</t>
  </si>
  <si>
    <t xml:space="preserve">Expenditure During the year        </t>
  </si>
  <si>
    <t>Interest during Construction</t>
  </si>
  <si>
    <t>Energy Actually Sold in the system (Distco's+CPP)</t>
  </si>
  <si>
    <t>Less EHT Loss in the system for Intra State Sale</t>
  </si>
  <si>
    <t>Employee Housing Loans</t>
  </si>
  <si>
    <t>Govt. Loans</t>
  </si>
  <si>
    <t>Secured Loan</t>
  </si>
  <si>
    <t>Deposit from EHT Consumers</t>
  </si>
  <si>
    <t>FY-08-09 (Actual)</t>
  </si>
  <si>
    <t>20% HRA(Basic &amp; Grade pay) for employees w.e.f. 01.12.2008</t>
  </si>
  <si>
    <t>5% of (Basic &amp; Grade Pay) w.e.f 01.12.2008</t>
  </si>
  <si>
    <t>Other Loans &amp; Finance Charges</t>
  </si>
  <si>
    <t>SLDC Charges</t>
  </si>
  <si>
    <t>H</t>
  </si>
  <si>
    <t>Transfer to Fixed Assets</t>
  </si>
  <si>
    <t>1994-Rate of Depreciation as per GOI Notification dated 29-03-94(SLM)</t>
  </si>
  <si>
    <t>The amount of any loans borrowed from organisations or institutions approved by the State Govt.</t>
  </si>
  <si>
    <t>ii-b)</t>
  </si>
  <si>
    <t>Less: Prior Period Item</t>
  </si>
  <si>
    <t>The amount of any debenture issued by the licensee.</t>
  </si>
  <si>
    <t>The amount standing to the credit of Tariffs and Dividends control reserve at the beginning of the year of account.</t>
  </si>
  <si>
    <t>The amount standing to the credit of the Development reserve at the close of the year.</t>
  </si>
  <si>
    <t>Total of B:</t>
  </si>
  <si>
    <t>Capital Base (A-B)</t>
  </si>
  <si>
    <t>Existing</t>
  </si>
  <si>
    <t>Proposed</t>
  </si>
  <si>
    <t>Provision towards  Wage revision for Non executive  w.e.f 1.4.2010</t>
  </si>
  <si>
    <t>Implementation of Dress Code</t>
  </si>
  <si>
    <t>Note: OPTCL Commercial activities were started effective from 01-04-2005 as  per the GoO Notification, dated 09-06-2005</t>
  </si>
  <si>
    <t>DETAILS OF CALCULATION ON INTEREST ON WORKING CAPITAL</t>
  </si>
  <si>
    <t>Receivable equivalnet to two month of Fixed Cost</t>
  </si>
  <si>
    <t>Maintenance Spare @ 15% of O&amp;M Expenses</t>
  </si>
  <si>
    <t>Operation and Maintenance Expenses for one month</t>
  </si>
  <si>
    <t>TOTAL WORKING CAPITAL</t>
  </si>
  <si>
    <t>Employee Cost Including Terminal liability</t>
  </si>
  <si>
    <t>R&amp;M</t>
  </si>
  <si>
    <t>A&amp;G</t>
  </si>
  <si>
    <t>Sub Total of O&amp;M Expenses</t>
  </si>
  <si>
    <t>Interest on Loan</t>
  </si>
  <si>
    <t>Ref GM RT &amp; C</t>
  </si>
  <si>
    <t>Return on Equity</t>
  </si>
  <si>
    <t>Inter State</t>
  </si>
  <si>
    <t>Upto Sept-12</t>
  </si>
  <si>
    <t>Projrcted for the Year</t>
  </si>
  <si>
    <t>Indian Energy Exchange</t>
  </si>
  <si>
    <t>Supervision Charges</t>
  </si>
  <si>
    <t>OPEN Access</t>
  </si>
  <si>
    <t>Rebate</t>
  </si>
  <si>
    <t>Statement of sundry debtors and provision for bad &amp; doubtful debt</t>
  </si>
  <si>
    <t>Rs. in Crs.</t>
  </si>
  <si>
    <t>Asst.Manager</t>
  </si>
  <si>
    <t>Junior Manager</t>
  </si>
  <si>
    <t>Revenue billed for the year</t>
  </si>
  <si>
    <t>Collection for the year</t>
  </si>
  <si>
    <t xml:space="preserve">INFORMATION ON INVENTORY </t>
  </si>
  <si>
    <t>April</t>
  </si>
  <si>
    <t>May</t>
  </si>
  <si>
    <t>June</t>
  </si>
  <si>
    <t>July</t>
  </si>
  <si>
    <t>August</t>
  </si>
  <si>
    <t>Sept.</t>
  </si>
  <si>
    <t>Oct.</t>
  </si>
  <si>
    <t>Nov.</t>
  </si>
  <si>
    <t>Dec.</t>
  </si>
  <si>
    <t>Jan.</t>
  </si>
  <si>
    <t>Feb.</t>
  </si>
  <si>
    <t>Report on Addition to Fixed assets during the year</t>
  </si>
  <si>
    <t>TRF-19</t>
  </si>
  <si>
    <t>Report on Assets not in use</t>
  </si>
  <si>
    <t>TRF-20</t>
  </si>
  <si>
    <t>Special appropriation</t>
  </si>
  <si>
    <t>TRF-21</t>
  </si>
  <si>
    <t>Tariff &amp; Dividend Control Reserve</t>
  </si>
  <si>
    <t>TRF-22</t>
  </si>
  <si>
    <t>TRF-23</t>
  </si>
  <si>
    <t>TRF-24</t>
  </si>
  <si>
    <t>Subsidies &amp; Grants</t>
  </si>
  <si>
    <t>Balance Sheet</t>
  </si>
  <si>
    <t>TRF-26</t>
  </si>
  <si>
    <t>1.1.06- 0%</t>
  </si>
  <si>
    <t>1.7.06- 2 %</t>
  </si>
  <si>
    <t>1.1.07- 6 %</t>
  </si>
  <si>
    <t>1.7.07- 9 %</t>
  </si>
  <si>
    <t>1.1.08- 12 %</t>
  </si>
  <si>
    <t xml:space="preserve">Maximum 5% of </t>
  </si>
  <si>
    <t>OERC FORM TRF-4</t>
  </si>
  <si>
    <t>Aug.</t>
  </si>
  <si>
    <t>OERC FORM  TRF-9</t>
  </si>
  <si>
    <t>OERC FORM TRF-7</t>
  </si>
  <si>
    <t>OERC FORM  TRF-8</t>
  </si>
  <si>
    <t>OERC FORM TRF-5</t>
  </si>
  <si>
    <t>OERC FORM  TRF-12</t>
  </si>
  <si>
    <t>G</t>
  </si>
  <si>
    <t>Less:Interest Capitalisation</t>
  </si>
  <si>
    <t>Interest Chargeble</t>
  </si>
  <si>
    <t>Source (Institution wise/Bankwise)</t>
  </si>
  <si>
    <t>Amount Sanctioned</t>
  </si>
  <si>
    <t>Amount of Drawal</t>
  </si>
  <si>
    <t>(As on 01-4-09)</t>
  </si>
  <si>
    <t>(As on 01-4-10)</t>
  </si>
  <si>
    <t>(As on 01-4-11)</t>
  </si>
  <si>
    <t>Rs. In Crore</t>
  </si>
  <si>
    <t>7=3+4+5-6</t>
  </si>
  <si>
    <t>13=7+10+11-12</t>
  </si>
  <si>
    <t>17=13+14+15-16</t>
  </si>
  <si>
    <t>State Govt.(Cash Loan)</t>
  </si>
  <si>
    <t>State Govt.(CRF)</t>
  </si>
  <si>
    <t xml:space="preserve">Union Bank of India </t>
  </si>
  <si>
    <t>(Write-off)</t>
  </si>
  <si>
    <t>Closing Stock</t>
  </si>
  <si>
    <t>(1+2-3-4)</t>
  </si>
  <si>
    <t>INFORMATION OF CASH &amp; BANK BALANCE</t>
  </si>
  <si>
    <t>Opening Balance</t>
  </si>
  <si>
    <t>Receipt</t>
  </si>
  <si>
    <t>Payment</t>
  </si>
  <si>
    <t>Balance</t>
  </si>
  <si>
    <t>2005-06</t>
  </si>
  <si>
    <t>Rates &amp; Taxes</t>
  </si>
  <si>
    <t xml:space="preserve">Provision for natural calamities </t>
  </si>
  <si>
    <t>a</t>
  </si>
  <si>
    <t>b</t>
  </si>
  <si>
    <t>c</t>
  </si>
  <si>
    <t>Additional Financial Informations</t>
  </si>
  <si>
    <t>Current assets</t>
  </si>
  <si>
    <t>FY-11-12
 (Provt)</t>
  </si>
  <si>
    <t>Transfer to SLDC Development Fund</t>
  </si>
  <si>
    <t>FY-11-12
(Prov)</t>
  </si>
  <si>
    <t>REC</t>
  </si>
  <si>
    <t>PFC</t>
  </si>
  <si>
    <t>Inventory (O&amp;M)</t>
  </si>
  <si>
    <t>d</t>
  </si>
  <si>
    <t>Current liabilities</t>
  </si>
  <si>
    <t>Net working capital (1-2)</t>
  </si>
  <si>
    <t>Sources of funding &amp; rate of interest</t>
  </si>
  <si>
    <t>Interest on working capital</t>
  </si>
  <si>
    <t xml:space="preserve">OPTCL Bonds </t>
  </si>
  <si>
    <t>Amount spent</t>
  </si>
  <si>
    <t xml:space="preserve">Working Capital </t>
  </si>
  <si>
    <t>(Rs. in Crores)</t>
  </si>
  <si>
    <t>Capital subsidy</t>
  </si>
  <si>
    <t>Revenue subsidy</t>
  </si>
  <si>
    <t>Grants If any</t>
  </si>
  <si>
    <t>STATEMENT OF FIXED ASSET AND DEPRECIATION</t>
  </si>
  <si>
    <t>OERC</t>
  </si>
  <si>
    <t>Total of (I to VI)</t>
  </si>
  <si>
    <t xml:space="preserve">No. of Employees </t>
  </si>
  <si>
    <t>(as on 01-4-07)</t>
  </si>
  <si>
    <t>(as on 01-4-08)</t>
  </si>
  <si>
    <t>2010-11</t>
  </si>
  <si>
    <t>(as on 01-4-06)</t>
  </si>
  <si>
    <t>OB as on 1-4-2008</t>
  </si>
  <si>
    <t>CB as on 31-3-2009</t>
  </si>
  <si>
    <t>Telecom (As per Annexure attached)</t>
  </si>
  <si>
    <t>(As on 01-4-12)</t>
  </si>
  <si>
    <t>Information Technology(As per Annexure attached)</t>
  </si>
  <si>
    <t>Total of Operation and Maintenance (As per Annexure attached)</t>
  </si>
  <si>
    <t>March</t>
  </si>
  <si>
    <t>2013-14</t>
  </si>
  <si>
    <t>Actual Upto Sept (BP)</t>
  </si>
  <si>
    <t>FY-13-14 
(Estt)</t>
  </si>
  <si>
    <t>FY-10-11 
(Actual)</t>
  </si>
  <si>
    <t>FY-11-12 
(Prov)</t>
  </si>
  <si>
    <t>FY-13-14
(Estt.)</t>
  </si>
  <si>
    <t>FY-11-12 
Prov</t>
  </si>
  <si>
    <t>FY-10-11 
(Act.)</t>
  </si>
  <si>
    <t>FY-11-12 (PROV)</t>
  </si>
  <si>
    <t xml:space="preserve">3% Increase (Basic &amp; Grade pay)  in 12-13 and 3% increase in 13-14   </t>
  </si>
  <si>
    <t>OB as on 01-04-11</t>
  </si>
  <si>
    <t>CB as on                                      31-3-12</t>
  </si>
  <si>
    <t>CB as on
31-3-12</t>
  </si>
  <si>
    <t>CB as on 
31-3-14</t>
  </si>
  <si>
    <t>CB as on     31-3-14</t>
  </si>
  <si>
    <t>Addition during the year other than CWIP</t>
  </si>
  <si>
    <t>(From other than CWIP)</t>
  </si>
  <si>
    <t>Capital Employed during the year</t>
  </si>
  <si>
    <t xml:space="preserve">Capital Employed at the </t>
  </si>
  <si>
    <t>c)  Administrative &amp; General Expenses</t>
  </si>
  <si>
    <t xml:space="preserve"> Salaries(Basic and Grade Pay)</t>
  </si>
  <si>
    <t>Provision for Taxation &amp; Others(Fringe Benefit Tax)</t>
  </si>
  <si>
    <t>1.7.08- 16 %</t>
  </si>
  <si>
    <t>1.1.09- 21 %</t>
  </si>
  <si>
    <t>Profit &amp; Loss A/c</t>
  </si>
  <si>
    <t>TRF-27</t>
  </si>
  <si>
    <t>Working Capital</t>
  </si>
  <si>
    <t xml:space="preserve">Other Misc. Receipts </t>
  </si>
  <si>
    <t>Opening Stock</t>
  </si>
  <si>
    <t>Purchase during the month</t>
  </si>
  <si>
    <t>Issue for consumption</t>
  </si>
  <si>
    <t>Adjustment</t>
  </si>
  <si>
    <t>FY-05-06 (Actual)</t>
  </si>
  <si>
    <t>Pension Payment</t>
  </si>
  <si>
    <t>Projected Actuarial Liability as on 31.03.08(Approved by OERC)</t>
  </si>
  <si>
    <t>400/220kV S/S Mendhasal</t>
  </si>
  <si>
    <t>Const. of 220/132 kv s/s Paradeep with associated line</t>
  </si>
  <si>
    <t>Constn. Of 132/33 kV s/s at Karanjia with associated lines</t>
  </si>
  <si>
    <t>132/33kV S/S Badagada</t>
  </si>
  <si>
    <t>132/33kV s/s at Phulnakhara</t>
  </si>
  <si>
    <t>132/33kV S/S at Anandpur alongwith Transmission Line (New)</t>
  </si>
  <si>
    <t>220 kv line from Padmanvpur to Balasore</t>
  </si>
  <si>
    <t>220 kv line from Narendrapur-Chandaka with bay at Chandaka</t>
  </si>
  <si>
    <t>220kV line from  Mendhasal to Bidanasi</t>
  </si>
  <si>
    <t xml:space="preserve">220kV DC line Budhipadar-Bolangir </t>
  </si>
  <si>
    <t>220kV DC Line Bidanasi-Cuttack</t>
  </si>
  <si>
    <t>132kV line from Mancheswar to Badagada</t>
  </si>
  <si>
    <t>132kV line from  Badagada to Uttara</t>
  </si>
  <si>
    <t>132kV line from  Uttara to Sijua</t>
  </si>
  <si>
    <t>Rly traction line from Jagatsingpur  to Gorakhnath  (Deposit work)</t>
  </si>
  <si>
    <t>2007-08</t>
  </si>
  <si>
    <t>FOR THE F.Y.2005-06 (Actual)</t>
  </si>
  <si>
    <t>OB as on 1-4-2007</t>
  </si>
  <si>
    <t>CB as on 31-3-2008</t>
  </si>
  <si>
    <t>Units for CPP Drawal including Trans.Loss</t>
  </si>
  <si>
    <t>Less EHT Loss in the system for Distco Drawal</t>
  </si>
  <si>
    <t>FY-06-07
(Actual)</t>
  </si>
  <si>
    <t>Completed</t>
  </si>
  <si>
    <t>Electricity &amp; Water Charges</t>
  </si>
  <si>
    <t>ACTUALS FOR IST SIX MONTHS OF THE CURRENT YEAR</t>
  </si>
  <si>
    <t>EXPECTED FOR LAST SIX MONTHS OF THE CURRENT YEAR</t>
  </si>
  <si>
    <t>EXPECTED FOR ENSUING YEAR</t>
  </si>
  <si>
    <t>Subsidies and Grants :</t>
  </si>
  <si>
    <t>11 KV Metering</t>
  </si>
  <si>
    <t xml:space="preserve">33 KV Metering </t>
  </si>
  <si>
    <t xml:space="preserve"> (PREVIOUS YEAR, CURRENT YEAR &amp; ENSUING YEAR)</t>
  </si>
  <si>
    <t>76.15-76.16</t>
  </si>
  <si>
    <t>FORM  TRF-22</t>
  </si>
  <si>
    <t>Transmission Cost (O/M)</t>
  </si>
  <si>
    <t>(Total expenses I to XIII)</t>
  </si>
  <si>
    <t>by Appropriate Authority</t>
  </si>
  <si>
    <t>Employee Cost</t>
  </si>
  <si>
    <t>Revenue from Inter STOA</t>
  </si>
  <si>
    <t>Unscheduled Interchange (STOA)</t>
  </si>
  <si>
    <t xml:space="preserve">Other Misc.Receipt </t>
  </si>
  <si>
    <t>Provisions</t>
  </si>
  <si>
    <t>14% Return on additional investment</t>
  </si>
  <si>
    <t>OERC FORM TRF-25</t>
  </si>
  <si>
    <t>FY-05-06                                 (Actual)</t>
  </si>
  <si>
    <t>TRF-25</t>
  </si>
  <si>
    <t>400kV DC line Ib-Meramundali</t>
  </si>
  <si>
    <t>220 kv dc line from Budhipadar to Basundhara MCL (Deposit Work)</t>
  </si>
  <si>
    <t>Provision for Wealth Tax</t>
  </si>
  <si>
    <t>OERC FORM  TRF-23</t>
  </si>
  <si>
    <t>220/132 kV S/S at IB</t>
  </si>
  <si>
    <t>P/KWH</t>
  </si>
  <si>
    <t>Power Procurement Cost</t>
  </si>
  <si>
    <t>Total Cost with Profit</t>
  </si>
  <si>
    <t>Description</t>
  </si>
  <si>
    <t>Original cost of fixed asset   Less  contribution for deposit works</t>
  </si>
  <si>
    <t xml:space="preserve"> at the end of each month of the year)</t>
  </si>
  <si>
    <t>***</t>
  </si>
  <si>
    <t>Note: 1. Grant of Rs. 100 Crores proposed to be  received by OPTCL or Expected to be received during the current year  2008-09 of Rs.30 Crore , 2009-10 of Rs.30 Crore and 2010-11 of Rs.40 Crores.</t>
  </si>
  <si>
    <t>FY-05-06 (Appv)</t>
  </si>
  <si>
    <t>3=1-2</t>
  </si>
  <si>
    <t>2x12.5MVA,132/33 KV S/S at Akhusingh</t>
  </si>
  <si>
    <t>FY-11-12 (Estt)</t>
  </si>
  <si>
    <t>FY-08-09 
(Actual)</t>
  </si>
  <si>
    <t>FY-11-12 
(Estt)</t>
  </si>
  <si>
    <t>FY-08-09
 (Actual)</t>
  </si>
  <si>
    <t>CB as on 
31-3-13</t>
  </si>
  <si>
    <t>CB as on     31-3-13</t>
  </si>
  <si>
    <t>FY-09-10      (Audited)</t>
  </si>
  <si>
    <t>FY-09-10 
(Audited)</t>
  </si>
  <si>
    <t>FY-10-11 
(Prov)</t>
  </si>
  <si>
    <t>FY-09-10
 (Audited)</t>
  </si>
  <si>
    <t>FY-10-11
 (Prov)</t>
  </si>
  <si>
    <t>FY-09-10 (Audited)</t>
  </si>
  <si>
    <t>FY-10-11          (Prov)</t>
  </si>
  <si>
    <t>Assumptions    (% Rise over FY 10- 11)</t>
  </si>
  <si>
    <t>FY-09-10
 (Prov)</t>
  </si>
  <si>
    <t>FY-08-09
(Actual)</t>
  </si>
  <si>
    <t>FY-09-10
(Prov)</t>
  </si>
  <si>
    <t>FY-08-09      (Actual)</t>
  </si>
  <si>
    <t>This format is not possible to be filled up in present accounting set-up of OPTCL</t>
  </si>
  <si>
    <t>Note: In case of Interstate wheeling , OPTCL continues to bill for transmission charges at 17.5 paisa per unit,</t>
  </si>
  <si>
    <t>FY-07-08 
(Actual.)</t>
  </si>
  <si>
    <t>FY-07-08
(Actual)</t>
  </si>
  <si>
    <t>FY-10-11
(Estt)</t>
  </si>
  <si>
    <r>
      <t xml:space="preserve">Capital Expenditure Plan of Operation and Maintenance Work i.e  Upgradation /Addition of Transformer (As per Annexure Attached) </t>
    </r>
    <r>
      <rPr>
        <b/>
        <sz val="9"/>
        <rFont val="Arial"/>
        <family val="2"/>
      </rPr>
      <t>Total E</t>
    </r>
  </si>
  <si>
    <r>
      <t xml:space="preserve">Capital Expenditure Plan of Upcoming Telecom. Project (As per Annexure Attached) </t>
    </r>
    <r>
      <rPr>
        <b/>
        <sz val="10"/>
        <rFont val="Arial"/>
        <family val="2"/>
      </rPr>
      <t>Total F</t>
    </r>
  </si>
  <si>
    <r>
      <t xml:space="preserve">Capital Expenditure Plan of Upcoming IT Project (As per Annexure Attached) </t>
    </r>
    <r>
      <rPr>
        <b/>
        <sz val="10"/>
        <rFont val="Arial"/>
        <family val="2"/>
      </rPr>
      <t>Total G</t>
    </r>
  </si>
  <si>
    <r>
      <t xml:space="preserve">Capital Expenditure Plan of Civil (As per Annexure Attached) </t>
    </r>
    <r>
      <rPr>
        <b/>
        <sz val="10"/>
        <rFont val="Arial"/>
        <family val="2"/>
      </rPr>
      <t>Total H</t>
    </r>
  </si>
  <si>
    <r>
      <t xml:space="preserve">Advance to Contractor/Supplier </t>
    </r>
    <r>
      <rPr>
        <b/>
        <sz val="10"/>
        <rFont val="Arial"/>
        <family val="2"/>
      </rPr>
      <t>(I)</t>
    </r>
  </si>
  <si>
    <t>Grand Total(D+E+F+G+H+I)</t>
  </si>
  <si>
    <t>Total of Deposit Work</t>
  </si>
  <si>
    <t>Loans for New Projects (PFC/REC/Commercial Banks)</t>
  </si>
  <si>
    <t>0.5% of loan outstanding as at the end of the year</t>
  </si>
  <si>
    <t>FY-10-11 (Provisional)</t>
  </si>
  <si>
    <t>Constant</t>
  </si>
  <si>
    <t>Service tax Paid to service provider</t>
  </si>
  <si>
    <t>2009-10(Audited)</t>
  </si>
  <si>
    <t>Staff Welfare Expenses including sports expenses</t>
  </si>
  <si>
    <t>Note:1. Provision towards 6th Pay comm /Wage revision has been made @40%  In  2009-10 and 60% in 2010-11 as per Actual disbursement.</t>
  </si>
  <si>
    <t xml:space="preserve">        2.Terminal Benefit of 2011-12 includes the shortfall of 07-08 and the carryover allowed by OERC.</t>
  </si>
  <si>
    <t xml:space="preserve">1.7.10 - 45 % </t>
  </si>
  <si>
    <t>1.1.10 - 35 %</t>
  </si>
  <si>
    <t xml:space="preserve">1.7.09 - 27 % </t>
  </si>
  <si>
    <t>Special Appropriation</t>
  </si>
  <si>
    <t>Assumptions   (% increase over Last FY)</t>
  </si>
  <si>
    <t>Total (A+B)</t>
  </si>
  <si>
    <t>GoO Bonds</t>
  </si>
  <si>
    <t>Sub Total</t>
  </si>
  <si>
    <t>Sub Total  (10 to 20)</t>
  </si>
  <si>
    <t>Sub Total  (24 to 28)</t>
  </si>
  <si>
    <t>Contribution to P.F., Staff pension,Gratuity (Included in Employee Cost)</t>
  </si>
  <si>
    <t xml:space="preserve">Previous loss         </t>
  </si>
  <si>
    <t>D</t>
  </si>
  <si>
    <t>C</t>
  </si>
  <si>
    <t>Reasonable Return</t>
  </si>
  <si>
    <t>E</t>
  </si>
  <si>
    <t>Rebate to Consumers</t>
  </si>
  <si>
    <t>F</t>
  </si>
  <si>
    <t>Miscellaneous Receipts</t>
  </si>
  <si>
    <t>Total (C+D+E-F)</t>
  </si>
  <si>
    <t>Reasonable return</t>
  </si>
  <si>
    <t>c)</t>
  </si>
  <si>
    <t>RBI rate at the beginning of that year + 5% on investment made upto 31.3.99 +</t>
  </si>
  <si>
    <t>TOTAL (a+b+c)</t>
  </si>
  <si>
    <t>ACTUALS/ESTIMATES FOR THE CURRENT YEAR</t>
  </si>
  <si>
    <t>The amounts written off or set aside on account of depreciation</t>
  </si>
  <si>
    <t>Current Liabilities (Power Purcahase)</t>
  </si>
  <si>
    <t>1998-99</t>
  </si>
  <si>
    <t>Less :Interest charged to Capital Work-in-Progress</t>
  </si>
  <si>
    <t>Interest Charged to revenue</t>
  </si>
  <si>
    <t>OB</t>
  </si>
  <si>
    <t>Addition</t>
  </si>
  <si>
    <t>CB</t>
  </si>
  <si>
    <t>1999-00</t>
  </si>
  <si>
    <t>Less :Capitalisation</t>
  </si>
  <si>
    <t>Net Total</t>
  </si>
  <si>
    <t>Building repair &amp; maintenance</t>
  </si>
  <si>
    <t>Vehicle repair &amp; maintenance</t>
  </si>
  <si>
    <t>Furniture &amp; Fixture repair &amp; maintenance</t>
  </si>
  <si>
    <t>Office equipment repair &amp; maintenance</t>
  </si>
  <si>
    <t>Hydrulic Works repair &amp; maintenance</t>
  </si>
  <si>
    <t>Plant &amp; machinary repair &amp; maintenance</t>
  </si>
  <si>
    <t>Less: Capitalisation</t>
  </si>
  <si>
    <t>Net Repair &amp; Maintenance</t>
  </si>
  <si>
    <t>Accot Code</t>
  </si>
  <si>
    <t>Receipts during the Year</t>
  </si>
  <si>
    <t>Redeemed during the Year</t>
  </si>
  <si>
    <t xml:space="preserve">0.5% on </t>
  </si>
  <si>
    <t>f</t>
  </si>
  <si>
    <t>g</t>
  </si>
  <si>
    <t>h</t>
  </si>
  <si>
    <t>I</t>
  </si>
  <si>
    <t>OERC FORM TRF-3</t>
  </si>
  <si>
    <t>Cost of Trans. and cost of lost units                                          (Total cost of transmission/energy sold in the system*EHT loss in the system)</t>
  </si>
  <si>
    <t>Increment cost                                                                  (Total cost of transmission/units received in to the system/10)</t>
  </si>
  <si>
    <t>Element of Profit (Transmission)=(Reasonable return/units received in to the system)</t>
  </si>
  <si>
    <t>2. The Depreciation has been Charged at pre'92 rates from FY-2001-02 to FY-2005-06 on the upvalued Assets and in FY-2006-07 &amp; 2007-08 the rates were taken at Post'94 rates.</t>
  </si>
  <si>
    <t>OB as on 1-4-2006</t>
  </si>
  <si>
    <t>CB as on 31-3-2007</t>
  </si>
  <si>
    <t>(Addition during the year in CWIP)</t>
  </si>
  <si>
    <t>UCO Bank</t>
  </si>
  <si>
    <t>`</t>
  </si>
  <si>
    <t>Paisa/Unit</t>
  </si>
  <si>
    <t>NESCO</t>
  </si>
  <si>
    <t>WESCO</t>
  </si>
  <si>
    <t>SOUTHCO</t>
  </si>
  <si>
    <t>Power Sale (after transmission loss)</t>
  </si>
  <si>
    <t>Net Expenses Charged to Revenue</t>
  </si>
  <si>
    <t>Amortisation of approved investment for restoring damages due to cyclone.</t>
  </si>
  <si>
    <t>Loan/ Scheme/ Contract-wise Capital Works</t>
  </si>
  <si>
    <t xml:space="preserve">Repayment </t>
  </si>
  <si>
    <t>OB as on 1-4-2004</t>
  </si>
  <si>
    <t>CB as on 31-3-2005</t>
  </si>
  <si>
    <t>CB as on 31-3-2006</t>
  </si>
  <si>
    <t>Additional Capital Base during the period from 31.03.99 to till end of Financial year</t>
  </si>
  <si>
    <t>Units for Distco Drawal</t>
  </si>
  <si>
    <t>HUDCO</t>
  </si>
  <si>
    <t>Wheeling Charges for the inter state sale for the year</t>
  </si>
  <si>
    <t>Wheeling Charges for the intra state sale for the year</t>
  </si>
  <si>
    <t>Material cost (R &amp; M)</t>
  </si>
  <si>
    <t>Interest on loan borrowed from organisation (less Interest capitalisation &amp; Interest in distco Loan)</t>
  </si>
  <si>
    <t>20% increase/AS PER BUDGET</t>
  </si>
  <si>
    <t>Licencee : ORISSA POWER TRANSMISSION CORPORATION LIMITED.</t>
  </si>
  <si>
    <t>Calculation of Reasonable Return</t>
  </si>
  <si>
    <t>Capital Base allowed by the Commission in its Tariff Order Dated 21.12.98 for the year 98-99</t>
  </si>
  <si>
    <t>13% Return on Capital Base as on 31.03.99</t>
  </si>
  <si>
    <t>0.5% on Loan Outstanding</t>
  </si>
  <si>
    <t>Total Reasonable Return</t>
  </si>
  <si>
    <t>(Super Cyclone)</t>
  </si>
  <si>
    <t>CALCULATION OF COST OF TRANSMISSION</t>
  </si>
  <si>
    <t>2002-03</t>
  </si>
  <si>
    <t>Central Govt. Loan</t>
  </si>
  <si>
    <t>OERC FORM  TRF-11</t>
  </si>
  <si>
    <t>Particulars</t>
  </si>
  <si>
    <t>Total</t>
  </si>
  <si>
    <t>Other Allowance</t>
  </si>
  <si>
    <t>Bonus</t>
  </si>
  <si>
    <t>OTHER STAFF COST</t>
  </si>
  <si>
    <t>Honorarium</t>
  </si>
  <si>
    <t>Incentive</t>
  </si>
  <si>
    <t>Ex-gratia</t>
  </si>
  <si>
    <t>while providing for 7.5 paisa per unit , effectively realising 10 paise per unit. Hence provisions made for bad and doubtful debt @ 7.5 paisa per unit.</t>
  </si>
  <si>
    <t>Miscellaneous</t>
  </si>
  <si>
    <t>Terminal Benefits</t>
  </si>
  <si>
    <t>ADDITIONAL INFORMATION</t>
  </si>
  <si>
    <t>Interest Outstanding</t>
  </si>
  <si>
    <t>Interest due for the year</t>
  </si>
  <si>
    <t>Int.Outstanding</t>
  </si>
  <si>
    <t>Paid</t>
  </si>
  <si>
    <t>No. of Employees per MKWh sold</t>
  </si>
  <si>
    <t>No. of consumer as at ...............</t>
  </si>
  <si>
    <t xml:space="preserve"> </t>
  </si>
  <si>
    <t xml:space="preserve">REPAIRS AND MAINTENANCE EXPENSES </t>
  </si>
  <si>
    <t>(Rs. in Crs.)</t>
  </si>
  <si>
    <t>Civil repairs &amp; maintenance</t>
  </si>
  <si>
    <t>Transmission line repairs &amp; maintenance</t>
  </si>
  <si>
    <t>TOTAL</t>
  </si>
  <si>
    <t>STATEMENT OF SHARE CAPITAL (PREVIOUS YEAR, CURRENT YEAR &amp; ENSUING YEAR)</t>
  </si>
  <si>
    <t>Description of capital</t>
  </si>
  <si>
    <t>Balance at the beginning of the year</t>
  </si>
  <si>
    <t>(Rs. in crore)</t>
  </si>
  <si>
    <t>Less: Pass through for FY 2009-10</t>
  </si>
  <si>
    <t>TOTAL(5+6+7)</t>
  </si>
  <si>
    <t>The total fund requirement towards terminal benefit for FY 2010-11 shall be Rs.589.45 Cr.</t>
  </si>
  <si>
    <t xml:space="preserve"> after adjusting Rs.29.33 Cr. Which has already been considered in FY 2009-10 tariff order of OPTCL.</t>
  </si>
  <si>
    <t>Balance at the end of the year</t>
  </si>
  <si>
    <t>Remarks</t>
  </si>
  <si>
    <t>Share capital</t>
  </si>
  <si>
    <t>Ordinary shares of Rs. Each</t>
  </si>
  <si>
    <t>% preference shares of Rs. Each</t>
  </si>
  <si>
    <t>Less calls in arrears</t>
  </si>
  <si>
    <t>ADMINISTRATION &amp; GENERAL EXPENSES</t>
  </si>
  <si>
    <t>PROPERTY RELATED EXPENSES</t>
  </si>
  <si>
    <t>Rent</t>
  </si>
  <si>
    <t>Insurance</t>
  </si>
  <si>
    <t>Contribution to accident reserve fund</t>
  </si>
  <si>
    <t>Sub total :</t>
  </si>
  <si>
    <t>Provision for Bad debt</t>
  </si>
  <si>
    <t>Repayment of Principal for tariff Purpose</t>
  </si>
  <si>
    <t>K</t>
  </si>
  <si>
    <t>Note : The scheme/jobs may be grouped as stated in statement II of Annexure V to Indian Electricity Rules, 1956.</t>
  </si>
  <si>
    <t>CONSOLIDATED REPORT ON ADDITIONS TO FIXED ASSETS DURING THE YEAR</t>
  </si>
  <si>
    <t>Asset Description</t>
  </si>
  <si>
    <t>Asset code</t>
  </si>
  <si>
    <t>Cost</t>
  </si>
  <si>
    <t>Finance Charges</t>
  </si>
  <si>
    <t>Pre-operative expenses</t>
  </si>
  <si>
    <t>Date of commissioning</t>
  </si>
  <si>
    <t>Inter State Wheeling &amp; Open Access</t>
  </si>
  <si>
    <t>2008-09(Actual)</t>
  </si>
  <si>
    <t>OB as on 1-4-2011</t>
  </si>
  <si>
    <t>CB as on 31-3-2012</t>
  </si>
  <si>
    <t>Note : The above list may be made applicable only to assets costing above  a predetermined limit to be set by OERC.</t>
  </si>
  <si>
    <t>STATEMENT OF ASSETS NOT IN USE AS ON …………..</t>
  </si>
  <si>
    <t>UNIT NAME &amp; CODE : …………………………..</t>
  </si>
  <si>
    <t>Sl. No.</t>
  </si>
  <si>
    <t>Date of Acquisition/Installation</t>
  </si>
  <si>
    <t xml:space="preserve">Date of withdrawal operations </t>
  </si>
  <si>
    <t>Net prior period credit/charges &amp; others</t>
  </si>
  <si>
    <t>Accumulated Depreciation on date of withdrawal</t>
  </si>
  <si>
    <t>Written down value on date of withdrawal</t>
  </si>
  <si>
    <t xml:space="preserve">STATEMENT OF SPECIAL APPROPRIATIONS PERMITTED BY </t>
  </si>
  <si>
    <t>Grand Total:</t>
  </si>
  <si>
    <t xml:space="preserve">Particulars giving reference to the sanction of the appropriate authority </t>
  </si>
  <si>
    <t>Additions by way of appropriation during the year</t>
  </si>
  <si>
    <t>Projected (BP)</t>
  </si>
  <si>
    <t>Cost of Purchase of Energy</t>
  </si>
  <si>
    <t>a)  Employees Cost</t>
  </si>
  <si>
    <t>b)  Repair &amp; Maintainance Expenses</t>
  </si>
  <si>
    <t>FY-06-07 (Prov.)</t>
  </si>
  <si>
    <t>FY-05-06 
(Actual)</t>
  </si>
  <si>
    <t>Proposed Charges, other than and in addition to thr charges of tariff leviable for the purpose</t>
  </si>
  <si>
    <t>Monthly meter rent</t>
  </si>
  <si>
    <t>Basis of calculation of monthly meter rent</t>
  </si>
  <si>
    <t>OERC FORM  TRF-10</t>
  </si>
  <si>
    <t>OERC FORM  TRF-13</t>
  </si>
  <si>
    <t>OERC FORM  TRF-17</t>
  </si>
  <si>
    <t>OERC FORM  TRF-18</t>
  </si>
  <si>
    <t>Historical Cost /Cost of Acquisition</t>
  </si>
  <si>
    <t>OERC FORM  TRF-19</t>
  </si>
  <si>
    <t>OERC FORM  TRF-20</t>
  </si>
  <si>
    <t>OERC FORM  TRF-21</t>
  </si>
  <si>
    <t>OERC FORM  TRF-22</t>
  </si>
  <si>
    <t>Sl  No</t>
  </si>
  <si>
    <t>FY-05-06 
(Appv)</t>
  </si>
  <si>
    <t>Truing up for 
2005-06</t>
  </si>
  <si>
    <t>Ensuing Year-2008-09</t>
  </si>
  <si>
    <t xml:space="preserve">As per Budget </t>
  </si>
  <si>
    <t>Licence Fees (see below)</t>
  </si>
  <si>
    <t>constant</t>
  </si>
  <si>
    <t>Interest on Working Capital @ (10%+2.50)</t>
  </si>
  <si>
    <t>Shareholders’ Funds</t>
  </si>
  <si>
    <t>Share Capital</t>
  </si>
  <si>
    <t>Reserves and Surplus</t>
  </si>
  <si>
    <t>Loan Funds</t>
  </si>
  <si>
    <t>Secured Loans</t>
  </si>
  <si>
    <t>Unsecured Loans</t>
  </si>
  <si>
    <t>Other Funds</t>
  </si>
  <si>
    <t>Consumers’ Security Deposits</t>
  </si>
  <si>
    <t>Capital contributions from consumers</t>
  </si>
  <si>
    <t>II.</t>
  </si>
  <si>
    <t>APPLICATION OF FUNDS</t>
  </si>
  <si>
    <t>Less: Accumulated Depreciation</t>
  </si>
  <si>
    <t>Capital Work in Progress</t>
  </si>
  <si>
    <t>Investments</t>
  </si>
  <si>
    <t>2003-04</t>
  </si>
  <si>
    <t xml:space="preserve">Note: </t>
  </si>
  <si>
    <t>Since most of the Transmission inventory relates to site stores, it is not possible to compile monthly stores balance now in this scenario.</t>
  </si>
  <si>
    <t>NB. Detail report combined with OERC format TRF-2</t>
  </si>
  <si>
    <t>NIL</t>
  </si>
  <si>
    <t>Transmission Assets</t>
  </si>
  <si>
    <t>(Rs. in Crores.)</t>
  </si>
  <si>
    <t>Current Assets, Loans and Advances</t>
  </si>
  <si>
    <t>Inventories</t>
  </si>
  <si>
    <t>Cash and Bank Balances</t>
  </si>
  <si>
    <t>Loans and Advances</t>
  </si>
  <si>
    <t>Less: Current Liabilities and Provisions</t>
  </si>
  <si>
    <t xml:space="preserve">NET CURRENT ASSETS </t>
  </si>
  <si>
    <t>Profit &amp; Loss Account Debit Balance</t>
  </si>
  <si>
    <t>PROFIT &amp; LOSS ACCOUNT FOR THE YEAR ENDED ........</t>
  </si>
  <si>
    <t>INCOME</t>
  </si>
  <si>
    <t>EXPENDITURE</t>
  </si>
  <si>
    <t>Purchase of Power</t>
  </si>
  <si>
    <t>Operation Maintenance, Administration General and other expenses</t>
  </si>
  <si>
    <t>Profit (before interest &amp; finance charges)</t>
  </si>
  <si>
    <t xml:space="preserve">  Note: OPTCL has not made any permitted appropriation and does not propose any in the ensuing year.</t>
  </si>
  <si>
    <t>10 years</t>
  </si>
  <si>
    <t>9 years</t>
  </si>
  <si>
    <t>6 month</t>
  </si>
  <si>
    <t>3 month</t>
  </si>
  <si>
    <t>1 years</t>
  </si>
  <si>
    <t>2 years</t>
  </si>
  <si>
    <t>Interest on Working Capital</t>
  </si>
  <si>
    <t>Other (Grid Co-ordination Committee expenses)</t>
  </si>
  <si>
    <t xml:space="preserve">Return on Equity </t>
  </si>
  <si>
    <t>Gross receipt from Transmission Charges (DISCOMs)</t>
  </si>
  <si>
    <t>Interest Rate (%)</t>
  </si>
  <si>
    <t>CB as on 31-3-2001</t>
  </si>
  <si>
    <t>SLDC 11-12</t>
  </si>
  <si>
    <t>CB as on 31-3-2002</t>
  </si>
  <si>
    <t>Net receipt from Wheeling Charges of (DISCOMS)</t>
  </si>
  <si>
    <t>Gross receipt of wheeling charges from other than DISCOMS 
(less discounts applicable thereto)</t>
  </si>
  <si>
    <t>Rental of meters &amp; other apparatus hired to customer</t>
  </si>
  <si>
    <t>Other general receipts accountable for income tax and arising from and ancillary or incidental to business of Electricity supply.</t>
  </si>
  <si>
    <t xml:space="preserve">Closing WIP </t>
  </si>
  <si>
    <t>CB as on 31-3-2003</t>
  </si>
  <si>
    <t>CB as on 31-3-2004</t>
  </si>
  <si>
    <t>Pre'92-Rate of Depreciation as per GOI Notification dated 31-01-92(SLM)</t>
  </si>
  <si>
    <t>Life of the Assets as per GOI Notification dated 31-01-92 (in no of years)</t>
  </si>
  <si>
    <t>4=1+2-3</t>
  </si>
  <si>
    <t>7=5-6</t>
  </si>
  <si>
    <t>Other Professional charges</t>
  </si>
  <si>
    <t>vehicle running exp &amp; Hire charges of vehicle</t>
  </si>
  <si>
    <t>Audit fees &amp; Audit Expenses</t>
  </si>
  <si>
    <t>vehicle licence, Registration fees  &amp; Road taxes</t>
  </si>
  <si>
    <t>31.03.10</t>
  </si>
  <si>
    <t>31.03.11</t>
  </si>
  <si>
    <t>Meter Reading Charges</t>
  </si>
  <si>
    <t>Licence &amp; other related fees</t>
  </si>
  <si>
    <t>Office Upkeep &amp; Maintenance</t>
  </si>
  <si>
    <t>Gardening &amp; Horticultural Expenses</t>
  </si>
  <si>
    <t>8=4-7</t>
  </si>
  <si>
    <t>OB as on 1-4-1997</t>
  </si>
  <si>
    <t>8=5+6-7</t>
  </si>
  <si>
    <t>9=4-8</t>
  </si>
  <si>
    <t>OB as on 1-4-1998</t>
  </si>
  <si>
    <t>OB as on 1-4-1999</t>
  </si>
  <si>
    <t>OB as on 1-4-2000</t>
  </si>
  <si>
    <t>OB as on 1-4-2001</t>
  </si>
  <si>
    <t>OB as on 1-4-2002</t>
  </si>
  <si>
    <t>OB as on 1-4-2003</t>
  </si>
  <si>
    <t>Rs. In Crores</t>
  </si>
  <si>
    <t>Sl.</t>
  </si>
  <si>
    <t>No.</t>
  </si>
  <si>
    <t>A</t>
  </si>
  <si>
    <t>B</t>
  </si>
  <si>
    <t>(a)</t>
  </si>
  <si>
    <t>Employees cost</t>
  </si>
  <si>
    <t>(b)</t>
  </si>
  <si>
    <t>(c)</t>
  </si>
  <si>
    <t>Admn. &amp; General Expenses</t>
  </si>
  <si>
    <t>III.</t>
  </si>
  <si>
    <t>IV.</t>
  </si>
  <si>
    <t>Summary of CWIP</t>
  </si>
  <si>
    <t xml:space="preserve">Interest </t>
  </si>
  <si>
    <t>Penal Intt.</t>
  </si>
  <si>
    <t>Other charges like finance charges, commitment charges</t>
  </si>
  <si>
    <t>Swapping of existing loans</t>
  </si>
  <si>
    <t xml:space="preserve">BALANCE SHEET AS AT ……………... </t>
  </si>
  <si>
    <t>OERC FORM  TRF-26</t>
  </si>
  <si>
    <t>OERC FORM TRF-2</t>
  </si>
  <si>
    <t>Cost of intangible asset</t>
  </si>
  <si>
    <t>The original cost of Work in progress</t>
  </si>
  <si>
    <t>(d)</t>
  </si>
  <si>
    <t>2011-12</t>
  </si>
  <si>
    <t>FY-12-13 
(Estt)</t>
  </si>
  <si>
    <t>FY-12-13 (Estt)</t>
  </si>
  <si>
    <t>FY-12-13 
(Estt.)</t>
  </si>
  <si>
    <t>Previous Year-2010-11</t>
  </si>
  <si>
    <t>Current Year - 2011-12</t>
  </si>
  <si>
    <t>Ensuing Year-2012-13</t>
  </si>
  <si>
    <t>FY-10-11 (Prov)</t>
  </si>
  <si>
    <t>FY-12-13
 (Estt)</t>
  </si>
  <si>
    <t>Balance at the Beginning of the Year 12-13</t>
  </si>
  <si>
    <t>Balance at the end of the Year 12-13</t>
  </si>
  <si>
    <t>Payment of diff. Pension &amp; pensionary benefits to the absorbed Govt. Engineer in OPTCL</t>
  </si>
  <si>
    <t>Enhanced in Salary due to implementation of NPC structure for executive &amp; non executive</t>
  </si>
  <si>
    <t>Sub Total (1 to 8)</t>
  </si>
  <si>
    <t>Total (9+21+22+29+30)</t>
  </si>
  <si>
    <t>2012-13(Estm.)</t>
  </si>
  <si>
    <t>OB as on 1-4-2012</t>
  </si>
  <si>
    <t>CB as on 31-3-2013</t>
  </si>
  <si>
    <t>FY-12-13
(Estt)</t>
  </si>
  <si>
    <t>2012-13</t>
  </si>
  <si>
    <t>(Audited)</t>
  </si>
  <si>
    <t xml:space="preserve">Provisional </t>
  </si>
  <si>
    <t>1.1.11- 51 %</t>
  </si>
  <si>
    <t>1.7.11 - 58 %</t>
  </si>
  <si>
    <t>The amount of investment compulsorily made under para-IV</t>
  </si>
  <si>
    <t>(e)</t>
  </si>
  <si>
    <t xml:space="preserve">An amount on account of working capital equal to the sum of </t>
  </si>
  <si>
    <t xml:space="preserve">(i)   Average cost of stores </t>
  </si>
  <si>
    <t>15% increase</t>
  </si>
  <si>
    <t>400/220KV s/s at New Duburi</t>
  </si>
  <si>
    <t>Rent, rates and taxes other than all taxed on Income &amp; Profits</t>
  </si>
  <si>
    <t>2x12.5 MVA, 132/33 kv s/s at Boudh with associated transmission line</t>
  </si>
  <si>
    <t xml:space="preserve">  Total Revenue </t>
  </si>
  <si>
    <t>2x12.5 MVA, 132/33 kv s/s at Banki with associated transmission line</t>
  </si>
  <si>
    <t>2x12.5 MVA, 132/33 kv s/s at Kalunga with associated transmission line</t>
  </si>
  <si>
    <t>2x40 MVA, 220/33 kv s/s at Bonai with associated transmission line</t>
  </si>
  <si>
    <t>2x20 MVA, 132/33 kv s/s at Barbil with associated transmission line</t>
  </si>
  <si>
    <t xml:space="preserve">Expenditure During the   year        </t>
  </si>
  <si>
    <t>ONGOING SCHEMES</t>
  </si>
  <si>
    <t>40 MVA,132/33kV s/s at Bidanasi</t>
  </si>
  <si>
    <t>TOTAL-A</t>
  </si>
  <si>
    <t>PROPOSED SCHEMES</t>
  </si>
  <si>
    <t>2x160MVA ,220/132kV and 2x20MVA 132/33kV S/s at Karadagadia with associated lines</t>
  </si>
  <si>
    <t>2x160MVA and 2x20MVA 220/132/33kV s/s at Lapanga with associated lines</t>
  </si>
  <si>
    <t>Rolling Stock</t>
  </si>
  <si>
    <t>Previous Year-2011-12</t>
  </si>
  <si>
    <t>Current Year - 2012-13</t>
  </si>
  <si>
    <t>Ensuing Year-2013-14</t>
  </si>
  <si>
    <t>STATEMENT OF SHARE CAPITAL FOR THE F.Y.2011-12 (Provisional)</t>
  </si>
  <si>
    <t>STATEMENT OF SHARE CAPITAL FOR THE F.Y.2012-13 (ESTIMATE)</t>
  </si>
  <si>
    <t>STATEMENT OF SHARE CAPITAL FOR THE F.Y. 2013-14 (ESTIMATE)</t>
  </si>
  <si>
    <t>FY-12-3 (Estt)</t>
  </si>
  <si>
    <t>FY-13-14 (Estt)</t>
  </si>
  <si>
    <t>Construction of 2x40MVA 132/33kV s/s at Khajuriakata near Hindol Road with associated transmission lines</t>
  </si>
  <si>
    <t>2x40MVA ,132/33kV s/s at Baliguda with construction of 132kV SC line from Phulbani to Baliguda and one no. 132kV feeder bay extension at Phulbani</t>
  </si>
  <si>
    <t>2x20 MVA, 220/33 kv s/s at Narsinghpur with LILO arrangement of 1 circuit of existing 220kV Bhanjanagar-Meramundali DC Line</t>
  </si>
  <si>
    <t>132kV SC line to 132KV DC line from PGCIL s/s., Kuchei to 132/33kV s/s, Baripada</t>
  </si>
  <si>
    <t>132kV Dc line fron Baripada PGCIL(Kuchei ) s/s to Jaleswar s/s with 2 nos. 132kv bay extension each at Baripada PGCIL ( Kuchei) &amp; ( Jaleswar)</t>
  </si>
  <si>
    <t>one no. 220kV feeders from proposed 220/132kV s/s of OPTCL at Cuttack to proposed 400/220kV s/s at Uttara ( Jatni) with two nos.of 220kV feeder bay extension at each end</t>
  </si>
  <si>
    <t>2X315MVA 400/220/33kV , 2x40MVA , 220/33kV s/s at Khuntini with associated transmission lines</t>
  </si>
  <si>
    <t>1x315MVA , 400/220kV , 1X20MVA , 220/33kV s/s at Nisa near Angul with construction of 400KV DC line by LILO of 400kV IB-Meramundali Line</t>
  </si>
  <si>
    <t>Rs. in Crore</t>
  </si>
  <si>
    <t>2x40MVA, 220/33kV s/s at Chhendipada with 220KV DC Line on Multi Circuit tower from proposed NISA S/S to Chhendipada</t>
  </si>
  <si>
    <t>TOTAL-B</t>
  </si>
  <si>
    <t>400 kV s/s at  Meramundali</t>
  </si>
  <si>
    <t>220/33 kV s/s at  Balimela</t>
  </si>
  <si>
    <t>132/33kV,2x20 MVA s/s at Basta with associated 132KV Transmission lines</t>
  </si>
  <si>
    <t>2x12.5 MVA, 132/33 kv s/s at Nuapada with associated transmission line</t>
  </si>
  <si>
    <t>2x12.5 MVA 132/33 kv s/s at Dabugaon with associated transmission line</t>
  </si>
  <si>
    <t>2x12.5 MVA, 132/33 kv s/s at Padampur with associated transmission line</t>
  </si>
  <si>
    <t>Stipend to Management Trainee(Executive)</t>
  </si>
  <si>
    <t>Stipend to new recruited Non Executive Trainee</t>
  </si>
  <si>
    <t>2x12.5 MVA, 132/33 kv s/s at Kuchinda with associated transmission line</t>
  </si>
  <si>
    <t>Partial Completed</t>
  </si>
  <si>
    <r>
      <t xml:space="preserve">Intra State Emergency  Sale </t>
    </r>
    <r>
      <rPr>
        <sz val="8"/>
        <rFont val="Arial"/>
        <family val="2"/>
      </rPr>
      <t>(NALCO &amp;ICCL)</t>
    </r>
  </si>
  <si>
    <t>1. Value of Asset &amp; Depreciation upto F.Y 2011-12 is based on Provisional Accounts for F.Y 2011-12</t>
  </si>
  <si>
    <t>3. The Depreciation for FY 2012-13 &amp; 2013-14 has been charged as per the CERC rates of depreciation w.e. f  01.04.2009.</t>
  </si>
  <si>
    <t>Previous Year 
2011-12</t>
  </si>
  <si>
    <t>Current Year
 2012-13</t>
  </si>
  <si>
    <t>Ensuing Year
 2013-14</t>
  </si>
  <si>
    <t>Depreciation Figures for 2011-12 (Provisional) are as per the Companies Act and Estimated figures for 2012-13 &amp; 13-14 are as per CERC norm.</t>
  </si>
  <si>
    <t>2x12.5 MVA, 132/33 kv s/s at Bhawanipatna with associated transmission line</t>
  </si>
  <si>
    <t>2x12.5 MVA, 132/33 kv s/s at Purushottampur with associated transmission line</t>
  </si>
  <si>
    <t>2x12.5 MVA, 132/33 kv s/s at Chandpur with associated transmission line</t>
  </si>
  <si>
    <t>2x40 MVA, 220/33 kv s/s at Gopinathpur (Keonjhar) with associated lines</t>
  </si>
  <si>
    <t>220kV DC line Bolangir to Kesinga</t>
  </si>
  <si>
    <t>132 kv SC line from Salipur to Kendrapara</t>
  </si>
  <si>
    <t>Constn. of 2x20 MVA 132/33 kv s/s at Olaver and 2 nos 132 kv feeder bay extn. at Pattamundai with 132 kv DC line from Pattamkundai to Olaver</t>
  </si>
  <si>
    <t>FY-11-12
 (Prov)</t>
  </si>
  <si>
    <t>Ensuing Year- 2013-14</t>
  </si>
  <si>
    <t>FY-13-14
 (Estt)</t>
  </si>
  <si>
    <t>FY-11-11
 (Prov)</t>
  </si>
  <si>
    <t>Total REC Loan</t>
  </si>
  <si>
    <t>Licencee : ….ODISHA POWER TRANSMISSION CORPORATION LIMITED.</t>
  </si>
  <si>
    <t>Intangible Assets under development</t>
  </si>
  <si>
    <t>2x100 MVA, 220/132/33 kv s/s at Dhamara with connectivity from Bhadrak s/s</t>
  </si>
  <si>
    <t>PF(Employer's Matching Contribution)</t>
  </si>
  <si>
    <t>Additional Liability required to meet the Gratuity payout due to implementation of revised gratuity w.e.f 01.01.2006</t>
  </si>
  <si>
    <t>2x100MVA,220/132 KV S/s  at Kesinga with 220DC line from Bolangir to Kesinga and one no. 220kV Bay Extension at Bolangir</t>
  </si>
  <si>
    <t>132kV LILO arrangement of 132kV SC line from Meramundali to Arati Steel to 132/33kV s/s , Nuapatna alongwith one no. of Feeder bay extension at Nuapatna</t>
  </si>
  <si>
    <t>2x20 MVA ,132/33 KV s/s at Konark with associated lines &amp; 132kV feeder bay extension at Nimapara</t>
  </si>
  <si>
    <t>Renovaion of existing 2/12.5 MVA ,132/33KV s/s at Ganjam</t>
  </si>
  <si>
    <t>2x160MVA, 220/132kV s/s at existing 400kV s/s. Mendhasal</t>
  </si>
  <si>
    <t xml:space="preserve">Construction of  2*315MVA 400KV grid s/s at Lapanga  with LILO of one circuit of 400kV Bisra -Raipur Line and Both circuit of IB -Thermal Meramundali 400kV Line at Lapanga </t>
  </si>
  <si>
    <t>2nos. 220KV feeders from 220/132/33kV s/s of OPTCL at Jayanagar to 400/220 kV s/s of PGCIL at Jayanagar with 2 nos. of 220kV bay extension at each end</t>
  </si>
  <si>
    <t>Construction of  2*100MVA &amp; 2x40MVA  , 220/132/33KV s/s at Puri with associated Line.</t>
  </si>
</sst>
</file>

<file path=xl/styles.xml><?xml version="1.0" encoding="utf-8"?>
<styleSheet xmlns="http://schemas.openxmlformats.org/spreadsheetml/2006/main">
  <numFmts count="28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* #,##0_-;\-* #,##0_-;_-* &quot;-&quot;_-;_-@_-"/>
    <numFmt numFmtId="169" formatCode="_-* #,##0.00_-;\-* #,##0.00_-;_-* &quot;-&quot;??_-;_-@_-"/>
    <numFmt numFmtId="170" formatCode="_(* #,##0_);_(* \(#,##0\);_(* &quot;-&quot;??_);_(@_)"/>
    <numFmt numFmtId="171" formatCode="_(* #,##0.000_);_(* \(#,##0.000\);_(* &quot;-&quot;??_);_(@_)"/>
    <numFmt numFmtId="172" formatCode="0.00_)"/>
    <numFmt numFmtId="173" formatCode="0.0%"/>
    <numFmt numFmtId="174" formatCode="0.000%"/>
    <numFmt numFmtId="175" formatCode="_(* #,##0.0000_);_(* \(#,##0.0000\);_(* &quot;-&quot;??_);_(@_)"/>
    <numFmt numFmtId="176" formatCode="0.0000"/>
    <numFmt numFmtId="177" formatCode="0.000"/>
    <numFmt numFmtId="178" formatCode="#,##0.00\ ;&quot; (&quot;#,##0.00\);&quot; -&quot;#\ ;@\ "/>
    <numFmt numFmtId="179" formatCode="#,##0\ ;&quot; (&quot;#,##0\);&quot; - &quot;;@\ "/>
    <numFmt numFmtId="180" formatCode="#,##0\ ;&quot; (&quot;#,##0\);&quot; -&quot;#\ ;@\ "/>
    <numFmt numFmtId="181" formatCode="#,##0.00\ ;&quot; (&quot;#,##0.00\);&quot; - &quot;;@\ "/>
    <numFmt numFmtId="182" formatCode="#,##0.00\ ;&quot; (&quot;#,##0.00\);&quot; -&quot;#.0\ ;@\ "/>
    <numFmt numFmtId="183" formatCode="_(* #,##0.00_);_(* \(#,##0.00\);_(* \-??_);_(@_)"/>
  </numFmts>
  <fonts count="9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2"/>
      <color indexed="8"/>
      <name val="Arial"/>
      <family val="0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0"/>
    </font>
    <font>
      <b/>
      <i/>
      <sz val="16"/>
      <name val="Helv"/>
      <family val="0"/>
    </font>
    <font>
      <sz val="12"/>
      <name val="Arial"/>
      <family val="2"/>
    </font>
    <font>
      <sz val="12"/>
      <name val="Times New Roman"/>
      <family val="1"/>
    </font>
    <font>
      <sz val="12"/>
      <color indexed="8"/>
      <name val="Arial"/>
      <family val="2"/>
    </font>
    <font>
      <b/>
      <u val="single"/>
      <sz val="12"/>
      <name val="Arial"/>
      <family val="2"/>
    </font>
    <font>
      <b/>
      <sz val="14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b/>
      <u val="single"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  <font>
      <u val="single"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Bitstream Charter"/>
      <family val="1"/>
    </font>
    <font>
      <sz val="12"/>
      <name val="Bitstream Charter"/>
      <family val="1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1"/>
      <name val="Bitstream Charter"/>
      <family val="1"/>
    </font>
    <font>
      <b/>
      <sz val="11"/>
      <name val="Bitstream Charter"/>
      <family val="1"/>
    </font>
    <font>
      <b/>
      <u val="single"/>
      <sz val="11"/>
      <name val="Bitstream Charter"/>
      <family val="1"/>
    </font>
    <font>
      <b/>
      <sz val="10.5"/>
      <name val="Bitstream Charter"/>
      <family val="1"/>
    </font>
    <font>
      <b/>
      <sz val="10"/>
      <name val="Bitstream Charter"/>
      <family val="1"/>
    </font>
    <font>
      <sz val="13"/>
      <name val="Bitstream Charter"/>
      <family val="1"/>
    </font>
    <font>
      <b/>
      <sz val="13"/>
      <name val="Bitstream Charter"/>
      <family val="1"/>
    </font>
    <font>
      <b/>
      <u val="single"/>
      <sz val="9"/>
      <name val="Arial"/>
      <family val="2"/>
    </font>
    <font>
      <sz val="10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 MT"/>
      <family val="0"/>
    </font>
    <font>
      <b/>
      <u val="single"/>
      <sz val="10"/>
      <name val="Arial MT"/>
      <family val="0"/>
    </font>
    <font>
      <sz val="9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0" applyNumberFormat="0" applyBorder="0" applyAlignment="0" applyProtection="0"/>
    <xf numFmtId="0" fontId="77" fillId="27" borderId="1" applyNumberFormat="0" applyAlignment="0" applyProtection="0"/>
    <xf numFmtId="0" fontId="78" fillId="28" borderId="2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0" fillId="29" borderId="0" applyNumberFormat="0" applyBorder="0" applyAlignment="0" applyProtection="0"/>
    <xf numFmtId="38" fontId="11" fillId="30" borderId="0" applyNumberFormat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4" fillId="31" borderId="1" applyNumberFormat="0" applyAlignment="0" applyProtection="0"/>
    <xf numFmtId="10" fontId="11" fillId="32" borderId="6" applyNumberFormat="0" applyBorder="0" applyAlignment="0" applyProtection="0"/>
    <xf numFmtId="0" fontId="85" fillId="0" borderId="7" applyNumberFormat="0" applyFill="0" applyAlignment="0" applyProtection="0"/>
    <xf numFmtId="0" fontId="86" fillId="33" borderId="0" applyNumberFormat="0" applyBorder="0" applyAlignment="0" applyProtection="0"/>
    <xf numFmtId="172" fontId="14" fillId="0" borderId="0">
      <alignment/>
      <protection/>
    </xf>
    <xf numFmtId="0" fontId="0" fillId="34" borderId="8" applyNumberFormat="0" applyFont="0" applyAlignment="0" applyProtection="0"/>
    <xf numFmtId="0" fontId="87" fillId="27" borderId="9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10" applyNumberFormat="0" applyFill="0" applyAlignment="0" applyProtection="0"/>
    <xf numFmtId="0" fontId="90" fillId="0" borderId="0" applyNumberFormat="0" applyFill="0" applyBorder="0" applyAlignment="0" applyProtection="0"/>
  </cellStyleXfs>
  <cellXfs count="58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6" xfId="0" applyFont="1" applyBorder="1" applyAlignment="1">
      <alignment/>
    </xf>
    <xf numFmtId="0" fontId="0" fillId="0" borderId="6" xfId="0" applyBorder="1" applyAlignment="1">
      <alignment/>
    </xf>
    <xf numFmtId="0" fontId="0" fillId="0" borderId="0" xfId="0" applyNumberFormat="1" applyFill="1" applyAlignment="1">
      <alignment/>
    </xf>
    <xf numFmtId="0" fontId="5" fillId="0" borderId="0" xfId="0" applyNumberFormat="1" applyFont="1" applyFill="1" applyAlignment="1">
      <alignment horizontal="centerContinuous"/>
    </xf>
    <xf numFmtId="0" fontId="0" fillId="0" borderId="0" xfId="0" applyNumberFormat="1" applyFill="1" applyBorder="1" applyAlignment="1">
      <alignment/>
    </xf>
    <xf numFmtId="0" fontId="0" fillId="0" borderId="6" xfId="0" applyNumberFormat="1" applyFill="1" applyBorder="1" applyAlignment="1">
      <alignment/>
    </xf>
    <xf numFmtId="0" fontId="0" fillId="0" borderId="6" xfId="0" applyNumberFormat="1" applyFill="1" applyBorder="1" applyAlignment="1">
      <alignment horizontal="right"/>
    </xf>
    <xf numFmtId="0" fontId="6" fillId="0" borderId="0" xfId="0" applyNumberFormat="1" applyFont="1" applyFill="1" applyAlignment="1">
      <alignment/>
    </xf>
    <xf numFmtId="0" fontId="3" fillId="0" borderId="6" xfId="0" applyNumberFormat="1" applyFont="1" applyFill="1" applyBorder="1" applyAlignment="1">
      <alignment horizontal="center"/>
    </xf>
    <xf numFmtId="0" fontId="0" fillId="0" borderId="6" xfId="0" applyNumberFormat="1" applyFont="1" applyFill="1" applyBorder="1" applyAlignment="1">
      <alignment/>
    </xf>
    <xf numFmtId="0" fontId="3" fillId="0" borderId="0" xfId="0" applyNumberFormat="1" applyFont="1" applyFill="1" applyAlignment="1">
      <alignment horizontal="center"/>
    </xf>
    <xf numFmtId="0" fontId="6" fillId="0" borderId="6" xfId="0" applyNumberFormat="1" applyFont="1" applyFill="1" applyBorder="1" applyAlignment="1">
      <alignment/>
    </xf>
    <xf numFmtId="0" fontId="0" fillId="0" borderId="0" xfId="0" applyNumberFormat="1" applyFill="1" applyBorder="1" applyAlignment="1">
      <alignment horizontal="right"/>
    </xf>
    <xf numFmtId="0" fontId="6" fillId="0" borderId="6" xfId="0" applyNumberFormat="1" applyFont="1" applyFill="1" applyBorder="1" applyAlignment="1">
      <alignment horizontal="center"/>
    </xf>
    <xf numFmtId="0" fontId="11" fillId="0" borderId="6" xfId="0" applyNumberFormat="1" applyFont="1" applyFill="1" applyBorder="1" applyAlignment="1">
      <alignment/>
    </xf>
    <xf numFmtId="0" fontId="3" fillId="0" borderId="6" xfId="0" applyFont="1" applyBorder="1" applyAlignment="1">
      <alignment horizontal="center" wrapText="1"/>
    </xf>
    <xf numFmtId="0" fontId="8" fillId="0" borderId="0" xfId="0" applyNumberFormat="1" applyFont="1" applyFill="1" applyAlignment="1">
      <alignment/>
    </xf>
    <xf numFmtId="0" fontId="7" fillId="0" borderId="6" xfId="0" applyNumberFormat="1" applyFont="1" applyFill="1" applyBorder="1" applyAlignment="1">
      <alignment wrapText="1"/>
    </xf>
    <xf numFmtId="0" fontId="5" fillId="0" borderId="0" xfId="0" applyNumberFormat="1" applyFont="1" applyFill="1" applyAlignment="1">
      <alignment/>
    </xf>
    <xf numFmtId="0" fontId="15" fillId="0" borderId="6" xfId="0" applyNumberFormat="1" applyFont="1" applyFill="1" applyBorder="1" applyAlignment="1">
      <alignment/>
    </xf>
    <xf numFmtId="0" fontId="8" fillId="0" borderId="6" xfId="0" applyNumberFormat="1" applyFont="1" applyFill="1" applyBorder="1" applyAlignment="1">
      <alignment horizontal="right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/>
    </xf>
    <xf numFmtId="0" fontId="8" fillId="0" borderId="6" xfId="0" applyNumberFormat="1" applyFont="1" applyFill="1" applyBorder="1" applyAlignment="1">
      <alignment horizontal="center"/>
    </xf>
    <xf numFmtId="0" fontId="15" fillId="0" borderId="6" xfId="0" applyNumberFormat="1" applyFont="1" applyFill="1" applyBorder="1" applyAlignment="1">
      <alignment horizontal="center"/>
    </xf>
    <xf numFmtId="0" fontId="15" fillId="0" borderId="6" xfId="0" applyNumberFormat="1" applyFont="1" applyFill="1" applyBorder="1" applyAlignment="1">
      <alignment wrapText="1"/>
    </xf>
    <xf numFmtId="167" fontId="15" fillId="0" borderId="6" xfId="42" applyFont="1" applyFill="1" applyBorder="1" applyAlignment="1">
      <alignment/>
    </xf>
    <xf numFmtId="167" fontId="15" fillId="0" borderId="0" xfId="0" applyNumberFormat="1" applyFont="1" applyFill="1" applyAlignment="1">
      <alignment/>
    </xf>
    <xf numFmtId="0" fontId="15" fillId="0" borderId="0" xfId="0" applyNumberFormat="1" applyFont="1" applyFill="1" applyBorder="1" applyAlignment="1">
      <alignment/>
    </xf>
    <xf numFmtId="0" fontId="18" fillId="0" borderId="0" xfId="0" applyNumberFormat="1" applyFont="1" applyFill="1" applyAlignment="1">
      <alignment horizontal="left"/>
    </xf>
    <xf numFmtId="167" fontId="4" fillId="0" borderId="6" xfId="0" applyNumberFormat="1" applyFont="1" applyBorder="1" applyAlignment="1">
      <alignment/>
    </xf>
    <xf numFmtId="0" fontId="18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center"/>
    </xf>
    <xf numFmtId="167" fontId="15" fillId="0" borderId="6" xfId="0" applyNumberFormat="1" applyFont="1" applyFill="1" applyBorder="1" applyAlignment="1">
      <alignment/>
    </xf>
    <xf numFmtId="167" fontId="15" fillId="0" borderId="0" xfId="0" applyNumberFormat="1" applyFont="1" applyFill="1" applyBorder="1" applyAlignment="1">
      <alignment/>
    </xf>
    <xf numFmtId="0" fontId="4" fillId="0" borderId="6" xfId="0" applyNumberFormat="1" applyFont="1" applyFill="1" applyBorder="1" applyAlignment="1">
      <alignment horizontal="right"/>
    </xf>
    <xf numFmtId="167" fontId="15" fillId="0" borderId="6" xfId="0" applyNumberFormat="1" applyFont="1" applyBorder="1" applyAlignment="1">
      <alignment/>
    </xf>
    <xf numFmtId="167" fontId="15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20" fillId="0" borderId="6" xfId="0" applyNumberFormat="1" applyFont="1" applyFill="1" applyBorder="1" applyAlignment="1">
      <alignment horizontal="center"/>
    </xf>
    <xf numFmtId="167" fontId="0" fillId="0" borderId="6" xfId="42" applyFont="1" applyFill="1" applyBorder="1" applyAlignment="1">
      <alignment/>
    </xf>
    <xf numFmtId="167" fontId="3" fillId="0" borderId="6" xfId="42" applyFont="1" applyFill="1" applyBorder="1" applyAlignment="1">
      <alignment/>
    </xf>
    <xf numFmtId="167" fontId="0" fillId="0" borderId="6" xfId="42" applyFont="1" applyBorder="1" applyAlignment="1">
      <alignment/>
    </xf>
    <xf numFmtId="0" fontId="0" fillId="0" borderId="0" xfId="0" applyFont="1" applyAlignment="1">
      <alignment/>
    </xf>
    <xf numFmtId="0" fontId="15" fillId="0" borderId="0" xfId="0" applyFont="1" applyFill="1" applyAlignment="1">
      <alignment/>
    </xf>
    <xf numFmtId="0" fontId="21" fillId="0" borderId="6" xfId="0" applyFont="1" applyFill="1" applyBorder="1" applyAlignment="1">
      <alignment horizontal="center"/>
    </xf>
    <xf numFmtId="167" fontId="15" fillId="0" borderId="0" xfId="0" applyNumberFormat="1" applyFont="1" applyBorder="1" applyAlignment="1">
      <alignment horizontal="left"/>
    </xf>
    <xf numFmtId="167" fontId="4" fillId="0" borderId="6" xfId="0" applyNumberFormat="1" applyFont="1" applyBorder="1" applyAlignment="1">
      <alignment horizontal="center"/>
    </xf>
    <xf numFmtId="167" fontId="15" fillId="30" borderId="0" xfId="0" applyNumberFormat="1" applyFont="1" applyFill="1" applyAlignment="1">
      <alignment/>
    </xf>
    <xf numFmtId="165" fontId="4" fillId="0" borderId="0" xfId="0" applyNumberFormat="1" applyFont="1" applyAlignment="1">
      <alignment/>
    </xf>
    <xf numFmtId="165" fontId="15" fillId="0" borderId="0" xfId="0" applyNumberFormat="1" applyFont="1" applyAlignment="1">
      <alignment/>
    </xf>
    <xf numFmtId="165" fontId="4" fillId="0" borderId="6" xfId="0" applyNumberFormat="1" applyFont="1" applyBorder="1" applyAlignment="1">
      <alignment horizontal="center"/>
    </xf>
    <xf numFmtId="165" fontId="15" fillId="0" borderId="6" xfId="0" applyNumberFormat="1" applyFont="1" applyBorder="1" applyAlignment="1">
      <alignment horizontal="center"/>
    </xf>
    <xf numFmtId="165" fontId="15" fillId="30" borderId="0" xfId="0" applyNumberFormat="1" applyFont="1" applyFill="1" applyAlignment="1">
      <alignment horizontal="center"/>
    </xf>
    <xf numFmtId="165" fontId="15" fillId="30" borderId="0" xfId="0" applyNumberFormat="1" applyFont="1" applyFill="1" applyAlignment="1">
      <alignment/>
    </xf>
    <xf numFmtId="0" fontId="23" fillId="0" borderId="0" xfId="0" applyNumberFormat="1" applyFont="1" applyFill="1" applyAlignment="1">
      <alignment/>
    </xf>
    <xf numFmtId="167" fontId="0" fillId="0" borderId="6" xfId="42" applyFont="1" applyFill="1" applyBorder="1" applyAlignment="1">
      <alignment/>
    </xf>
    <xf numFmtId="0" fontId="15" fillId="0" borderId="6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/>
    </xf>
    <xf numFmtId="167" fontId="4" fillId="0" borderId="6" xfId="42" applyFont="1" applyFill="1" applyBorder="1" applyAlignment="1">
      <alignment/>
    </xf>
    <xf numFmtId="0" fontId="0" fillId="0" borderId="0" xfId="0" applyNumberFormat="1" applyFont="1" applyFill="1" applyAlignment="1">
      <alignment/>
    </xf>
    <xf numFmtId="167" fontId="4" fillId="0" borderId="6" xfId="42" applyFont="1" applyFill="1" applyBorder="1" applyAlignment="1">
      <alignment horizontal="center" wrapText="1"/>
    </xf>
    <xf numFmtId="167" fontId="3" fillId="0" borderId="6" xfId="42" applyNumberFormat="1" applyFont="1" applyFill="1" applyBorder="1" applyAlignment="1">
      <alignment/>
    </xf>
    <xf numFmtId="167" fontId="0" fillId="0" borderId="6" xfId="42" applyNumberFormat="1" applyFont="1" applyFill="1" applyBorder="1" applyAlignment="1">
      <alignment/>
    </xf>
    <xf numFmtId="167" fontId="3" fillId="0" borderId="6" xfId="0" applyNumberFormat="1" applyFont="1" applyFill="1" applyBorder="1" applyAlignment="1">
      <alignment/>
    </xf>
    <xf numFmtId="0" fontId="26" fillId="0" borderId="0" xfId="0" applyNumberFormat="1" applyFont="1" applyFill="1" applyAlignment="1">
      <alignment/>
    </xf>
    <xf numFmtId="0" fontId="27" fillId="0" borderId="0" xfId="0" applyNumberFormat="1" applyFont="1" applyFill="1" applyAlignment="1">
      <alignment/>
    </xf>
    <xf numFmtId="0" fontId="6" fillId="0" borderId="0" xfId="0" applyNumberFormat="1" applyFont="1" applyFill="1" applyBorder="1" applyAlignment="1">
      <alignment horizontal="center"/>
    </xf>
    <xf numFmtId="167" fontId="21" fillId="0" borderId="6" xfId="42" applyFont="1" applyFill="1" applyBorder="1" applyAlignment="1">
      <alignment horizontal="right" wrapText="1"/>
    </xf>
    <xf numFmtId="167" fontId="0" fillId="0" borderId="6" xfId="42" applyFont="1" applyFill="1" applyBorder="1" applyAlignment="1">
      <alignment/>
    </xf>
    <xf numFmtId="167" fontId="0" fillId="0" borderId="6" xfId="0" applyNumberFormat="1" applyFont="1" applyFill="1" applyBorder="1" applyAlignment="1">
      <alignment/>
    </xf>
    <xf numFmtId="0" fontId="16" fillId="0" borderId="0" xfId="0" applyFont="1" applyAlignment="1">
      <alignment/>
    </xf>
    <xf numFmtId="167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0" fillId="0" borderId="6" xfId="0" applyFont="1" applyFill="1" applyBorder="1" applyAlignment="1">
      <alignment wrapText="1"/>
    </xf>
    <xf numFmtId="0" fontId="0" fillId="0" borderId="6" xfId="0" applyFont="1" applyBorder="1" applyAlignment="1">
      <alignment/>
    </xf>
    <xf numFmtId="167" fontId="0" fillId="0" borderId="6" xfId="0" applyNumberFormat="1" applyFont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0" xfId="0" applyNumberFormat="1" applyFill="1" applyBorder="1" applyAlignment="1">
      <alignment horizontal="left"/>
    </xf>
    <xf numFmtId="0" fontId="19" fillId="0" borderId="6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wrapText="1"/>
    </xf>
    <xf numFmtId="0" fontId="3" fillId="0" borderId="0" xfId="0" applyNumberFormat="1" applyFont="1" applyFill="1" applyAlignment="1">
      <alignment horizontal="right"/>
    </xf>
    <xf numFmtId="0" fontId="29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 horizontal="left"/>
    </xf>
    <xf numFmtId="167" fontId="0" fillId="0" borderId="6" xfId="42" applyNumberFormat="1" applyFont="1" applyFill="1" applyBorder="1" applyAlignment="1">
      <alignment/>
    </xf>
    <xf numFmtId="167" fontId="0" fillId="0" borderId="0" xfId="42" applyFont="1" applyFill="1" applyAlignment="1">
      <alignment/>
    </xf>
    <xf numFmtId="0" fontId="6" fillId="0" borderId="6" xfId="0" applyNumberFormat="1" applyFont="1" applyFill="1" applyBorder="1" applyAlignment="1">
      <alignment horizontal="left"/>
    </xf>
    <xf numFmtId="0" fontId="3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wrapText="1"/>
    </xf>
    <xf numFmtId="2" fontId="3" fillId="0" borderId="6" xfId="0" applyNumberFormat="1" applyFont="1" applyBorder="1" applyAlignment="1">
      <alignment/>
    </xf>
    <xf numFmtId="0" fontId="3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3" fillId="0" borderId="0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0" fontId="6" fillId="0" borderId="6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NumberFormat="1" applyFont="1" applyFill="1" applyAlignment="1">
      <alignment horizontal="left"/>
    </xf>
    <xf numFmtId="2" fontId="15" fillId="0" borderId="0" xfId="0" applyNumberFormat="1" applyFont="1" applyFill="1" applyAlignment="1">
      <alignment/>
    </xf>
    <xf numFmtId="0" fontId="3" fillId="0" borderId="0" xfId="0" applyFont="1" applyAlignment="1">
      <alignment horizontal="left"/>
    </xf>
    <xf numFmtId="0" fontId="29" fillId="0" borderId="0" xfId="0" applyNumberFormat="1" applyFont="1" applyFill="1" applyBorder="1" applyAlignment="1">
      <alignment horizontal="left" vertical="top"/>
    </xf>
    <xf numFmtId="0" fontId="3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0" fillId="0" borderId="6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6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2" fontId="0" fillId="0" borderId="6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3" fillId="0" borderId="12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 shrinkToFit="1"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/>
    </xf>
    <xf numFmtId="167" fontId="3" fillId="0" borderId="6" xfId="42" applyNumberFormat="1" applyFont="1" applyBorder="1" applyAlignment="1">
      <alignment/>
    </xf>
    <xf numFmtId="167" fontId="0" fillId="0" borderId="6" xfId="42" applyNumberFormat="1" applyFont="1" applyBorder="1" applyAlignment="1">
      <alignment/>
    </xf>
    <xf numFmtId="170" fontId="0" fillId="0" borderId="6" xfId="0" applyNumberFormat="1" applyFont="1" applyBorder="1" applyAlignment="1">
      <alignment/>
    </xf>
    <xf numFmtId="0" fontId="0" fillId="30" borderId="0" xfId="0" applyFont="1" applyFill="1" applyBorder="1" applyAlignment="1">
      <alignment/>
    </xf>
    <xf numFmtId="0" fontId="3" fillId="30" borderId="0" xfId="0" applyFont="1" applyFill="1" applyBorder="1" applyAlignment="1">
      <alignment/>
    </xf>
    <xf numFmtId="167" fontId="0" fillId="30" borderId="0" xfId="0" applyNumberFormat="1" applyFont="1" applyFill="1" applyBorder="1" applyAlignment="1">
      <alignment/>
    </xf>
    <xf numFmtId="167" fontId="0" fillId="30" borderId="0" xfId="42" applyFont="1" applyFill="1" applyBorder="1" applyAlignment="1">
      <alignment/>
    </xf>
    <xf numFmtId="169" fontId="0" fillId="3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 horizontal="right"/>
    </xf>
    <xf numFmtId="0" fontId="6" fillId="0" borderId="0" xfId="0" applyNumberFormat="1" applyFont="1" applyFill="1" applyAlignment="1">
      <alignment horizontal="centerContinuous"/>
    </xf>
    <xf numFmtId="0" fontId="0" fillId="0" borderId="0" xfId="0" applyNumberFormat="1" applyFont="1" applyFill="1" applyAlignment="1">
      <alignment horizontal="centerContinuous"/>
    </xf>
    <xf numFmtId="0" fontId="3" fillId="0" borderId="0" xfId="0" applyNumberFormat="1" applyFont="1" applyFill="1" applyAlignment="1">
      <alignment/>
    </xf>
    <xf numFmtId="0" fontId="0" fillId="0" borderId="6" xfId="0" applyNumberFormat="1" applyFont="1" applyFill="1" applyBorder="1" applyAlignment="1">
      <alignment horizontal="center"/>
    </xf>
    <xf numFmtId="0" fontId="0" fillId="0" borderId="6" xfId="0" applyNumberFormat="1" applyFont="1" applyFill="1" applyBorder="1" applyAlignment="1">
      <alignment wrapText="1"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6" fillId="0" borderId="6" xfId="0" applyNumberFormat="1" applyFont="1" applyFill="1" applyBorder="1" applyAlignment="1">
      <alignment horizontal="left"/>
    </xf>
    <xf numFmtId="0" fontId="29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Alignment="1">
      <alignment wrapText="1"/>
    </xf>
    <xf numFmtId="0" fontId="6" fillId="0" borderId="6" xfId="0" applyNumberFormat="1" applyFont="1" applyFill="1" applyBorder="1" applyAlignment="1">
      <alignment/>
    </xf>
    <xf numFmtId="0" fontId="0" fillId="0" borderId="6" xfId="0" applyNumberFormat="1" applyFont="1" applyFill="1" applyBorder="1" applyAlignment="1">
      <alignment/>
    </xf>
    <xf numFmtId="0" fontId="6" fillId="0" borderId="6" xfId="0" applyNumberFormat="1" applyFont="1" applyFill="1" applyBorder="1" applyAlignment="1">
      <alignment horizontal="center" vertical="top"/>
    </xf>
    <xf numFmtId="0" fontId="0" fillId="0" borderId="6" xfId="0" applyNumberFormat="1" applyFont="1" applyFill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 vertical="top"/>
    </xf>
    <xf numFmtId="0" fontId="0" fillId="0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 horizontal="left"/>
    </xf>
    <xf numFmtId="0" fontId="3" fillId="0" borderId="6" xfId="0" applyFont="1" applyFill="1" applyBorder="1" applyAlignment="1">
      <alignment horizontal="center" vertical="center" wrapText="1"/>
    </xf>
    <xf numFmtId="167" fontId="0" fillId="0" borderId="0" xfId="0" applyNumberFormat="1" applyFont="1" applyFill="1" applyBorder="1" applyAlignment="1">
      <alignment/>
    </xf>
    <xf numFmtId="0" fontId="3" fillId="0" borderId="6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29" fillId="0" borderId="0" xfId="0" applyNumberFormat="1" applyFont="1" applyFill="1" applyAlignment="1">
      <alignment horizontal="center"/>
    </xf>
    <xf numFmtId="0" fontId="0" fillId="0" borderId="6" xfId="0" applyNumberFormat="1" applyFont="1" applyFill="1" applyBorder="1" applyAlignment="1">
      <alignment horizontal="right"/>
    </xf>
    <xf numFmtId="2" fontId="0" fillId="0" borderId="6" xfId="0" applyNumberFormat="1" applyFont="1" applyFill="1" applyBorder="1" applyAlignment="1">
      <alignment/>
    </xf>
    <xf numFmtId="167" fontId="0" fillId="0" borderId="0" xfId="0" applyNumberFormat="1" applyFont="1" applyFill="1" applyAlignment="1">
      <alignment/>
    </xf>
    <xf numFmtId="0" fontId="0" fillId="0" borderId="6" xfId="0" applyNumberFormat="1" applyFont="1" applyFill="1" applyBorder="1" applyAlignment="1">
      <alignment horizontal="left" indent="14"/>
    </xf>
    <xf numFmtId="1" fontId="0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0" fontId="3" fillId="0" borderId="6" xfId="0" applyFont="1" applyFill="1" applyBorder="1" applyAlignment="1">
      <alignment horizontal="center" vertical="top" wrapText="1"/>
    </xf>
    <xf numFmtId="0" fontId="32" fillId="0" borderId="11" xfId="0" applyFont="1" applyFill="1" applyBorder="1" applyAlignment="1">
      <alignment horizontal="center" wrapText="1"/>
    </xf>
    <xf numFmtId="0" fontId="32" fillId="0" borderId="6" xfId="0" applyFont="1" applyFill="1" applyBorder="1" applyAlignment="1">
      <alignment horizontal="center" wrapText="1"/>
    </xf>
    <xf numFmtId="0" fontId="32" fillId="0" borderId="13" xfId="0" applyFont="1" applyFill="1" applyBorder="1" applyAlignment="1">
      <alignment horizontal="center" wrapText="1"/>
    </xf>
    <xf numFmtId="0" fontId="32" fillId="0" borderId="12" xfId="0" applyFont="1" applyFill="1" applyBorder="1" applyAlignment="1">
      <alignment horizontal="center" wrapText="1"/>
    </xf>
    <xf numFmtId="0" fontId="32" fillId="0" borderId="0" xfId="0" applyFont="1" applyFill="1" applyBorder="1" applyAlignment="1">
      <alignment horizontal="center" wrapText="1"/>
    </xf>
    <xf numFmtId="165" fontId="0" fillId="0" borderId="11" xfId="0" applyNumberFormat="1" applyFont="1" applyFill="1" applyBorder="1" applyAlignment="1">
      <alignment/>
    </xf>
    <xf numFmtId="10" fontId="0" fillId="0" borderId="11" xfId="0" applyNumberFormat="1" applyFont="1" applyFill="1" applyBorder="1" applyAlignment="1">
      <alignment/>
    </xf>
    <xf numFmtId="167" fontId="0" fillId="0" borderId="1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20" fillId="0" borderId="6" xfId="0" applyFont="1" applyFill="1" applyBorder="1" applyAlignment="1">
      <alignment/>
    </xf>
    <xf numFmtId="0" fontId="20" fillId="0" borderId="6" xfId="0" applyFont="1" applyFill="1" applyBorder="1" applyAlignment="1">
      <alignment wrapText="1"/>
    </xf>
    <xf numFmtId="0" fontId="21" fillId="0" borderId="6" xfId="0" applyFont="1" applyFill="1" applyBorder="1" applyAlignment="1">
      <alignment horizontal="left" wrapText="1" indent="1"/>
    </xf>
    <xf numFmtId="0" fontId="21" fillId="0" borderId="6" xfId="0" applyFont="1" applyFill="1" applyBorder="1" applyAlignment="1">
      <alignment wrapText="1"/>
    </xf>
    <xf numFmtId="0" fontId="21" fillId="0" borderId="6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1" fillId="0" borderId="6" xfId="0" applyFont="1" applyFill="1" applyBorder="1" applyAlignment="1">
      <alignment horizontal="left" wrapText="1" indent="3"/>
    </xf>
    <xf numFmtId="0" fontId="3" fillId="0" borderId="6" xfId="42" applyNumberFormat="1" applyFont="1" applyFill="1" applyBorder="1" applyAlignment="1">
      <alignment horizontal="center"/>
    </xf>
    <xf numFmtId="167" fontId="0" fillId="0" borderId="6" xfId="42" applyFont="1" applyFill="1" applyBorder="1" applyAlignment="1">
      <alignment wrapText="1"/>
    </xf>
    <xf numFmtId="0" fontId="29" fillId="0" borderId="6" xfId="0" applyNumberFormat="1" applyFont="1" applyFill="1" applyBorder="1" applyAlignment="1">
      <alignment horizontal="left"/>
    </xf>
    <xf numFmtId="0" fontId="3" fillId="0" borderId="6" xfId="0" applyNumberFormat="1" applyFont="1" applyFill="1" applyBorder="1" applyAlignment="1">
      <alignment shrinkToFit="1"/>
    </xf>
    <xf numFmtId="0" fontId="30" fillId="0" borderId="0" xfId="0" applyNumberFormat="1" applyFont="1" applyFill="1" applyAlignment="1">
      <alignment/>
    </xf>
    <xf numFmtId="167" fontId="12" fillId="0" borderId="0" xfId="42" applyFont="1" applyFill="1" applyAlignment="1">
      <alignment horizontal="left"/>
    </xf>
    <xf numFmtId="0" fontId="6" fillId="0" borderId="0" xfId="0" applyNumberFormat="1" applyFont="1" applyFill="1" applyAlignment="1">
      <alignment horizontal="left" vertical="top"/>
    </xf>
    <xf numFmtId="0" fontId="6" fillId="0" borderId="0" xfId="0" applyNumberFormat="1" applyFont="1" applyFill="1" applyAlignment="1">
      <alignment horizontal="center" vertical="top"/>
    </xf>
    <xf numFmtId="167" fontId="6" fillId="0" borderId="0" xfId="42" applyFont="1" applyFill="1" applyBorder="1" applyAlignment="1">
      <alignment horizontal="right"/>
    </xf>
    <xf numFmtId="0" fontId="29" fillId="0" borderId="6" xfId="0" applyNumberFormat="1" applyFont="1" applyFill="1" applyBorder="1" applyAlignment="1">
      <alignment/>
    </xf>
    <xf numFmtId="0" fontId="0" fillId="0" borderId="6" xfId="0" applyNumberFormat="1" applyFont="1" applyFill="1" applyBorder="1" applyAlignment="1">
      <alignment horizontal="left" vertical="top" wrapText="1"/>
    </xf>
    <xf numFmtId="167" fontId="3" fillId="0" borderId="6" xfId="42" applyFont="1" applyFill="1" applyBorder="1" applyAlignment="1">
      <alignment horizontal="right"/>
    </xf>
    <xf numFmtId="0" fontId="0" fillId="0" borderId="6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wrapText="1"/>
    </xf>
    <xf numFmtId="0" fontId="3" fillId="0" borderId="6" xfId="0" applyNumberFormat="1" applyFont="1" applyFill="1" applyBorder="1" applyAlignment="1">
      <alignment wrapText="1"/>
    </xf>
    <xf numFmtId="0" fontId="0" fillId="0" borderId="0" xfId="0" applyNumberFormat="1" applyFont="1" applyFill="1" applyAlignment="1">
      <alignment/>
    </xf>
    <xf numFmtId="0" fontId="0" fillId="0" borderId="6" xfId="0" applyNumberFormat="1" applyFont="1" applyFill="1" applyBorder="1" applyAlignment="1">
      <alignment horizontal="center" wrapText="1"/>
    </xf>
    <xf numFmtId="0" fontId="0" fillId="0" borderId="6" xfId="0" applyNumberFormat="1" applyFont="1" applyFill="1" applyBorder="1" applyAlignment="1">
      <alignment horizontal="center"/>
    </xf>
    <xf numFmtId="0" fontId="0" fillId="0" borderId="6" xfId="0" applyNumberFormat="1" applyFont="1" applyFill="1" applyBorder="1" applyAlignment="1">
      <alignment/>
    </xf>
    <xf numFmtId="0" fontId="0" fillId="0" borderId="6" xfId="0" applyNumberFormat="1" applyFont="1" applyFill="1" applyBorder="1" applyAlignment="1">
      <alignment wrapText="1"/>
    </xf>
    <xf numFmtId="167" fontId="0" fillId="0" borderId="0" xfId="0" applyNumberFormat="1" applyFont="1" applyFill="1" applyAlignment="1">
      <alignment/>
    </xf>
    <xf numFmtId="0" fontId="0" fillId="0" borderId="6" xfId="0" applyNumberFormat="1" applyFont="1" applyFill="1" applyBorder="1" applyAlignment="1">
      <alignment horizontal="left" wrapText="1" indent="4"/>
    </xf>
    <xf numFmtId="0" fontId="3" fillId="0" borderId="15" xfId="0" applyNumberFormat="1" applyFont="1" applyFill="1" applyBorder="1" applyAlignment="1">
      <alignment horizontal="left"/>
    </xf>
    <xf numFmtId="170" fontId="0" fillId="0" borderId="6" xfId="42" applyNumberFormat="1" applyFont="1" applyFill="1" applyBorder="1" applyAlignment="1">
      <alignment/>
    </xf>
    <xf numFmtId="0" fontId="12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15" fillId="0" borderId="0" xfId="0" applyNumberFormat="1" applyFont="1" applyFill="1" applyBorder="1" applyAlignment="1">
      <alignment horizontal="left" wrapText="1"/>
    </xf>
    <xf numFmtId="0" fontId="19" fillId="0" borderId="0" xfId="0" applyNumberFormat="1" applyFont="1" applyFill="1" applyAlignment="1">
      <alignment/>
    </xf>
    <xf numFmtId="0" fontId="8" fillId="0" borderId="0" xfId="0" applyNumberFormat="1" applyFont="1" applyFill="1" applyBorder="1" applyAlignment="1">
      <alignment/>
    </xf>
    <xf numFmtId="0" fontId="19" fillId="0" borderId="0" xfId="0" applyNumberFormat="1" applyFont="1" applyFill="1" applyBorder="1" applyAlignment="1">
      <alignment/>
    </xf>
    <xf numFmtId="0" fontId="4" fillId="0" borderId="6" xfId="0" applyNumberFormat="1" applyFont="1" applyFill="1" applyBorder="1" applyAlignment="1">
      <alignment wrapText="1"/>
    </xf>
    <xf numFmtId="0" fontId="15" fillId="0" borderId="0" xfId="0" applyNumberFormat="1" applyFont="1" applyFill="1" applyBorder="1" applyAlignment="1">
      <alignment/>
    </xf>
    <xf numFmtId="0" fontId="15" fillId="0" borderId="6" xfId="0" applyNumberFormat="1" applyFont="1" applyFill="1" applyBorder="1" applyAlignment="1">
      <alignment/>
    </xf>
    <xf numFmtId="0" fontId="4" fillId="0" borderId="6" xfId="0" applyNumberFormat="1" applyFont="1" applyFill="1" applyBorder="1" applyAlignment="1">
      <alignment/>
    </xf>
    <xf numFmtId="0" fontId="8" fillId="0" borderId="6" xfId="0" applyNumberFormat="1" applyFont="1" applyFill="1" applyBorder="1" applyAlignment="1">
      <alignment/>
    </xf>
    <xf numFmtId="0" fontId="35" fillId="0" borderId="11" xfId="0" applyFont="1" applyFill="1" applyBorder="1" applyAlignment="1">
      <alignment horizontal="center" wrapText="1"/>
    </xf>
    <xf numFmtId="2" fontId="28" fillId="0" borderId="6" xfId="0" applyNumberFormat="1" applyFont="1" applyFill="1" applyBorder="1" applyAlignment="1">
      <alignment/>
    </xf>
    <xf numFmtId="167" fontId="0" fillId="0" borderId="11" xfId="42" applyFont="1" applyFill="1" applyBorder="1" applyAlignment="1">
      <alignment/>
    </xf>
    <xf numFmtId="167" fontId="3" fillId="0" borderId="11" xfId="42" applyFont="1" applyFill="1" applyBorder="1" applyAlignment="1">
      <alignment/>
    </xf>
    <xf numFmtId="0" fontId="0" fillId="0" borderId="0" xfId="0" applyFill="1" applyAlignment="1">
      <alignment/>
    </xf>
    <xf numFmtId="0" fontId="24" fillId="0" borderId="6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/>
    </xf>
    <xf numFmtId="170" fontId="0" fillId="0" borderId="6" xfId="42" applyNumberFormat="1" applyFont="1" applyFill="1" applyBorder="1" applyAlignment="1">
      <alignment/>
    </xf>
    <xf numFmtId="171" fontId="0" fillId="0" borderId="6" xfId="42" applyNumberFormat="1" applyFont="1" applyFill="1" applyBorder="1" applyAlignment="1">
      <alignment/>
    </xf>
    <xf numFmtId="167" fontId="3" fillId="0" borderId="6" xfId="42" applyFont="1" applyFill="1" applyBorder="1" applyAlignment="1">
      <alignment horizontal="center" vertical="center" wrapText="1"/>
    </xf>
    <xf numFmtId="170" fontId="3" fillId="0" borderId="6" xfId="42" applyNumberFormat="1" applyFont="1" applyFill="1" applyBorder="1" applyAlignment="1">
      <alignment/>
    </xf>
    <xf numFmtId="170" fontId="0" fillId="0" borderId="6" xfId="42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6" xfId="0" applyFont="1" applyFill="1" applyBorder="1" applyAlignment="1">
      <alignment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left" indent="4"/>
    </xf>
    <xf numFmtId="0" fontId="0" fillId="0" borderId="0" xfId="0" applyFont="1" applyFill="1" applyAlignment="1">
      <alignment horizontal="left"/>
    </xf>
    <xf numFmtId="0" fontId="3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11" xfId="0" applyFont="1" applyFill="1" applyBorder="1" applyAlignment="1">
      <alignment/>
    </xf>
    <xf numFmtId="0" fontId="0" fillId="0" borderId="6" xfId="0" applyFont="1" applyFill="1" applyBorder="1" applyAlignment="1">
      <alignment horizontal="center"/>
    </xf>
    <xf numFmtId="173" fontId="0" fillId="0" borderId="0" xfId="62" applyNumberFormat="1" applyFont="1" applyFill="1" applyAlignment="1">
      <alignment/>
    </xf>
    <xf numFmtId="0" fontId="4" fillId="0" borderId="0" xfId="0" applyFont="1" applyFill="1" applyAlignment="1">
      <alignment/>
    </xf>
    <xf numFmtId="0" fontId="15" fillId="0" borderId="6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15" fillId="0" borderId="6" xfId="0" applyFont="1" applyFill="1" applyBorder="1" applyAlignment="1" quotePrefix="1">
      <alignment horizontal="center"/>
    </xf>
    <xf numFmtId="0" fontId="4" fillId="0" borderId="6" xfId="0" applyFont="1" applyFill="1" applyBorder="1" applyAlignment="1">
      <alignment horizontal="left" indent="4"/>
    </xf>
    <xf numFmtId="167" fontId="0" fillId="0" borderId="0" xfId="0" applyNumberFormat="1" applyFill="1" applyAlignment="1">
      <alignment/>
    </xf>
    <xf numFmtId="2" fontId="4" fillId="0" borderId="0" xfId="0" applyNumberFormat="1" applyFont="1" applyFill="1" applyAlignment="1">
      <alignment/>
    </xf>
    <xf numFmtId="9" fontId="15" fillId="0" borderId="0" xfId="62" applyFont="1" applyFill="1" applyAlignment="1">
      <alignment/>
    </xf>
    <xf numFmtId="0" fontId="17" fillId="0" borderId="0" xfId="0" applyFont="1" applyFill="1" applyAlignment="1">
      <alignment/>
    </xf>
    <xf numFmtId="167" fontId="4" fillId="0" borderId="0" xfId="0" applyNumberFormat="1" applyFont="1" applyFill="1" applyAlignment="1">
      <alignment/>
    </xf>
    <xf numFmtId="0" fontId="25" fillId="0" borderId="0" xfId="0" applyFont="1" applyFill="1" applyAlignment="1">
      <alignment horizontal="centerContinuous"/>
    </xf>
    <xf numFmtId="0" fontId="0" fillId="0" borderId="6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wrapText="1"/>
    </xf>
    <xf numFmtId="2" fontId="0" fillId="0" borderId="6" xfId="0" applyNumberFormat="1" applyFont="1" applyFill="1" applyBorder="1" applyAlignment="1" quotePrefix="1">
      <alignment/>
    </xf>
    <xf numFmtId="0" fontId="0" fillId="0" borderId="0" xfId="0" applyFont="1" applyFill="1" applyBorder="1" applyAlignment="1">
      <alignment horizontal="center"/>
    </xf>
    <xf numFmtId="167" fontId="0" fillId="0" borderId="6" xfId="42" applyFont="1" applyFill="1" applyBorder="1" applyAlignment="1">
      <alignment horizontal="center"/>
    </xf>
    <xf numFmtId="167" fontId="20" fillId="0" borderId="6" xfId="42" applyFont="1" applyFill="1" applyBorder="1" applyAlignment="1">
      <alignment/>
    </xf>
    <xf numFmtId="167" fontId="21" fillId="0" borderId="6" xfId="42" applyFont="1" applyFill="1" applyBorder="1" applyAlignment="1">
      <alignment/>
    </xf>
    <xf numFmtId="167" fontId="21" fillId="0" borderId="6" xfId="42" applyFont="1" applyFill="1" applyBorder="1" applyAlignment="1">
      <alignment wrapText="1"/>
    </xf>
    <xf numFmtId="0" fontId="21" fillId="0" borderId="0" xfId="0" applyFont="1" applyFill="1" applyBorder="1" applyAlignment="1">
      <alignment horizontal="left" wrapText="1"/>
    </xf>
    <xf numFmtId="167" fontId="21" fillId="0" borderId="0" xfId="42" applyFont="1" applyFill="1" applyBorder="1" applyAlignment="1">
      <alignment/>
    </xf>
    <xf numFmtId="167" fontId="0" fillId="0" borderId="6" xfId="42" applyFont="1" applyFill="1" applyBorder="1" applyAlignment="1">
      <alignment horizontal="right"/>
    </xf>
    <xf numFmtId="167" fontId="3" fillId="0" borderId="6" xfId="0" applyNumberFormat="1" applyFont="1" applyFill="1" applyBorder="1" applyAlignment="1">
      <alignment horizontal="center" wrapText="1"/>
    </xf>
    <xf numFmtId="167" fontId="3" fillId="0" borderId="0" xfId="0" applyNumberFormat="1" applyFont="1" applyFill="1" applyAlignment="1">
      <alignment/>
    </xf>
    <xf numFmtId="0" fontId="3" fillId="0" borderId="16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10" fontId="0" fillId="0" borderId="6" xfId="0" applyNumberFormat="1" applyFont="1" applyFill="1" applyBorder="1" applyAlignment="1">
      <alignment/>
    </xf>
    <xf numFmtId="0" fontId="3" fillId="0" borderId="6" xfId="0" applyFont="1" applyFill="1" applyBorder="1" applyAlignment="1">
      <alignment horizontal="right"/>
    </xf>
    <xf numFmtId="0" fontId="0" fillId="0" borderId="6" xfId="0" applyFont="1" applyFill="1" applyBorder="1" applyAlignment="1">
      <alignment horizontal="left"/>
    </xf>
    <xf numFmtId="10" fontId="3" fillId="0" borderId="6" xfId="0" applyNumberFormat="1" applyFont="1" applyFill="1" applyBorder="1" applyAlignment="1">
      <alignment/>
    </xf>
    <xf numFmtId="0" fontId="3" fillId="0" borderId="6" xfId="0" applyFont="1" applyFill="1" applyBorder="1" applyAlignment="1">
      <alignment horizontal="left"/>
    </xf>
    <xf numFmtId="10" fontId="0" fillId="0" borderId="0" xfId="62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3" fillId="0" borderId="11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0" borderId="6" xfId="0" applyFont="1" applyFill="1" applyBorder="1" applyAlignment="1">
      <alignment vertical="top" wrapText="1"/>
    </xf>
    <xf numFmtId="167" fontId="3" fillId="0" borderId="11" xfId="42" applyFont="1" applyFill="1" applyBorder="1" applyAlignment="1">
      <alignment horizontal="center" vertical="center" wrapText="1"/>
    </xf>
    <xf numFmtId="0" fontId="12" fillId="0" borderId="0" xfId="0" applyNumberFormat="1" applyFont="1" applyFill="1" applyAlignment="1">
      <alignment horizontal="centerContinuous"/>
    </xf>
    <xf numFmtId="0" fontId="36" fillId="0" borderId="0" xfId="0" applyNumberFormat="1" applyFont="1" applyFill="1" applyAlignment="1">
      <alignment horizontal="centerContinuous"/>
    </xf>
    <xf numFmtId="0" fontId="3" fillId="0" borderId="6" xfId="0" applyNumberFormat="1" applyFont="1" applyFill="1" applyBorder="1" applyAlignment="1">
      <alignment horizontal="right"/>
    </xf>
    <xf numFmtId="167" fontId="0" fillId="0" borderId="19" xfId="42" applyFont="1" applyFill="1" applyBorder="1" applyAlignment="1">
      <alignment/>
    </xf>
    <xf numFmtId="2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20" fillId="0" borderId="6" xfId="0" applyFont="1" applyFill="1" applyBorder="1" applyAlignment="1">
      <alignment horizontal="right"/>
    </xf>
    <xf numFmtId="0" fontId="0" fillId="0" borderId="6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32" fillId="0" borderId="6" xfId="0" applyFont="1" applyFill="1" applyBorder="1" applyAlignment="1">
      <alignment wrapText="1"/>
    </xf>
    <xf numFmtId="167" fontId="0" fillId="0" borderId="0" xfId="42" applyFill="1" applyAlignment="1">
      <alignment/>
    </xf>
    <xf numFmtId="167" fontId="0" fillId="0" borderId="0" xfId="42" applyFont="1" applyFill="1" applyAlignment="1">
      <alignment/>
    </xf>
    <xf numFmtId="167" fontId="3" fillId="0" borderId="0" xfId="42" applyFont="1" applyFill="1" applyAlignment="1">
      <alignment/>
    </xf>
    <xf numFmtId="177" fontId="0" fillId="0" borderId="0" xfId="0" applyNumberFormat="1" applyFill="1" applyAlignment="1">
      <alignment/>
    </xf>
    <xf numFmtId="0" fontId="32" fillId="0" borderId="13" xfId="0" applyFont="1" applyFill="1" applyBorder="1" applyAlignment="1">
      <alignment horizontal="center"/>
    </xf>
    <xf numFmtId="10" fontId="0" fillId="0" borderId="0" xfId="0" applyNumberFormat="1" applyFont="1" applyFill="1" applyAlignment="1">
      <alignment/>
    </xf>
    <xf numFmtId="0" fontId="28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32" fillId="0" borderId="6" xfId="0" applyFont="1" applyFill="1" applyBorder="1" applyAlignment="1">
      <alignment horizontal="center"/>
    </xf>
    <xf numFmtId="0" fontId="33" fillId="0" borderId="11" xfId="0" applyFont="1" applyFill="1" applyBorder="1" applyAlignment="1">
      <alignment horizontal="center" wrapText="1"/>
    </xf>
    <xf numFmtId="0" fontId="33" fillId="0" borderId="6" xfId="0" applyFont="1" applyFill="1" applyBorder="1" applyAlignment="1">
      <alignment horizontal="center" wrapText="1"/>
    </xf>
    <xf numFmtId="0" fontId="34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/>
    </xf>
    <xf numFmtId="0" fontId="25" fillId="0" borderId="6" xfId="0" applyFont="1" applyFill="1" applyBorder="1" applyAlignment="1">
      <alignment/>
    </xf>
    <xf numFmtId="167" fontId="0" fillId="0" borderId="11" xfId="0" applyNumberFormat="1" applyFont="1" applyFill="1" applyBorder="1" applyAlignment="1">
      <alignment/>
    </xf>
    <xf numFmtId="171" fontId="0" fillId="0" borderId="6" xfId="0" applyNumberFormat="1" applyFont="1" applyFill="1" applyBorder="1" applyAlignment="1">
      <alignment/>
    </xf>
    <xf numFmtId="167" fontId="0" fillId="0" borderId="6" xfId="0" applyNumberFormat="1" applyFont="1" applyFill="1" applyBorder="1" applyAlignment="1">
      <alignment horizontal="left" indent="1"/>
    </xf>
    <xf numFmtId="167" fontId="0" fillId="0" borderId="12" xfId="42" applyFont="1" applyFill="1" applyBorder="1" applyAlignment="1">
      <alignment/>
    </xf>
    <xf numFmtId="167" fontId="3" fillId="0" borderId="11" xfId="0" applyNumberFormat="1" applyFont="1" applyFill="1" applyBorder="1" applyAlignment="1">
      <alignment/>
    </xf>
    <xf numFmtId="167" fontId="25" fillId="0" borderId="6" xfId="0" applyNumberFormat="1" applyFont="1" applyFill="1" applyBorder="1" applyAlignment="1">
      <alignment/>
    </xf>
    <xf numFmtId="174" fontId="0" fillId="0" borderId="0" xfId="62" applyNumberFormat="1" applyFont="1" applyFill="1" applyAlignment="1">
      <alignment/>
    </xf>
    <xf numFmtId="0" fontId="3" fillId="0" borderId="6" xfId="0" applyFont="1" applyFill="1" applyBorder="1" applyAlignment="1">
      <alignment vertical="top" wrapText="1"/>
    </xf>
    <xf numFmtId="171" fontId="0" fillId="0" borderId="0" xfId="42" applyNumberFormat="1" applyFill="1" applyAlignment="1">
      <alignment/>
    </xf>
    <xf numFmtId="167" fontId="0" fillId="0" borderId="11" xfId="42" applyNumberFormat="1" applyFont="1" applyFill="1" applyBorder="1" applyAlignment="1">
      <alignment/>
    </xf>
    <xf numFmtId="0" fontId="37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vertical="top" wrapText="1"/>
    </xf>
    <xf numFmtId="0" fontId="0" fillId="0" borderId="6" xfId="0" applyFill="1" applyBorder="1" applyAlignment="1">
      <alignment vertical="top" wrapText="1"/>
    </xf>
    <xf numFmtId="0" fontId="0" fillId="0" borderId="6" xfId="0" applyFill="1" applyBorder="1" applyAlignment="1">
      <alignment/>
    </xf>
    <xf numFmtId="2" fontId="0" fillId="0" borderId="6" xfId="0" applyNumberFormat="1" applyFill="1" applyBorder="1" applyAlignment="1">
      <alignment vertical="top" wrapText="1"/>
    </xf>
    <xf numFmtId="10" fontId="0" fillId="0" borderId="6" xfId="62" applyNumberFormat="1" applyFont="1" applyFill="1" applyBorder="1" applyAlignment="1">
      <alignment vertical="top" wrapText="1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38" fillId="0" borderId="0" xfId="0" applyNumberFormat="1" applyFont="1" applyFill="1" applyAlignment="1">
      <alignment/>
    </xf>
    <xf numFmtId="0" fontId="37" fillId="0" borderId="0" xfId="0" applyNumberFormat="1" applyFont="1" applyFill="1" applyAlignment="1">
      <alignment vertical="top" wrapText="1"/>
    </xf>
    <xf numFmtId="0" fontId="38" fillId="0" borderId="0" xfId="0" applyNumberFormat="1" applyFont="1" applyFill="1" applyAlignment="1">
      <alignment horizontal="center"/>
    </xf>
    <xf numFmtId="171" fontId="0" fillId="0" borderId="6" xfId="42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0" fontId="15" fillId="0" borderId="6" xfId="0" applyFont="1" applyFill="1" applyBorder="1" applyAlignment="1">
      <alignment vertical="top" wrapText="1"/>
    </xf>
    <xf numFmtId="171" fontId="3" fillId="0" borderId="6" xfId="0" applyNumberFormat="1" applyFont="1" applyFill="1" applyBorder="1" applyAlignment="1">
      <alignment/>
    </xf>
    <xf numFmtId="0" fontId="24" fillId="0" borderId="6" xfId="0" applyFont="1" applyFill="1" applyBorder="1" applyAlignment="1">
      <alignment vertical="top" wrapText="1"/>
    </xf>
    <xf numFmtId="0" fontId="18" fillId="0" borderId="0" xfId="0" applyNumberFormat="1" applyFont="1" applyFill="1" applyAlignment="1">
      <alignment/>
    </xf>
    <xf numFmtId="0" fontId="23" fillId="0" borderId="0" xfId="0" applyFont="1" applyFill="1" applyAlignment="1">
      <alignment/>
    </xf>
    <xf numFmtId="170" fontId="0" fillId="0" borderId="0" xfId="0" applyNumberFormat="1" applyFont="1" applyFill="1" applyAlignment="1">
      <alignment/>
    </xf>
    <xf numFmtId="0" fontId="0" fillId="0" borderId="6" xfId="0" applyNumberFormat="1" applyFill="1" applyBorder="1" applyAlignment="1">
      <alignment vertical="top" wrapText="1"/>
    </xf>
    <xf numFmtId="0" fontId="22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vertical="top" wrapText="1"/>
    </xf>
    <xf numFmtId="0" fontId="23" fillId="0" borderId="6" xfId="0" applyFont="1" applyFill="1" applyBorder="1" applyAlignment="1">
      <alignment wrapText="1"/>
    </xf>
    <xf numFmtId="0" fontId="19" fillId="0" borderId="0" xfId="0" applyNumberFormat="1" applyFont="1" applyFill="1" applyAlignment="1">
      <alignment/>
    </xf>
    <xf numFmtId="0" fontId="37" fillId="0" borderId="0" xfId="0" applyFont="1" applyFill="1" applyAlignment="1">
      <alignment/>
    </xf>
    <xf numFmtId="0" fontId="31" fillId="0" borderId="6" xfId="0" applyNumberFormat="1" applyFont="1" applyFill="1" applyBorder="1" applyAlignment="1">
      <alignment/>
    </xf>
    <xf numFmtId="0" fontId="23" fillId="0" borderId="6" xfId="0" applyFont="1" applyFill="1" applyBorder="1" applyAlignment="1">
      <alignment/>
    </xf>
    <xf numFmtId="0" fontId="23" fillId="0" borderId="6" xfId="0" applyFont="1" applyFill="1" applyBorder="1" applyAlignment="1">
      <alignment horizontal="left" vertical="center" wrapText="1"/>
    </xf>
    <xf numFmtId="2" fontId="24" fillId="0" borderId="6" xfId="0" applyNumberFormat="1" applyFont="1" applyFill="1" applyBorder="1" applyAlignment="1">
      <alignment/>
    </xf>
    <xf numFmtId="0" fontId="24" fillId="0" borderId="0" xfId="0" applyFont="1" applyFill="1" applyAlignment="1">
      <alignment/>
    </xf>
    <xf numFmtId="0" fontId="23" fillId="0" borderId="6" xfId="0" applyFont="1" applyFill="1" applyBorder="1" applyAlignment="1">
      <alignment vertical="top" wrapText="1"/>
    </xf>
    <xf numFmtId="0" fontId="12" fillId="0" borderId="6" xfId="0" applyNumberFormat="1" applyFont="1" applyFill="1" applyBorder="1" applyAlignment="1">
      <alignment/>
    </xf>
    <xf numFmtId="0" fontId="24" fillId="0" borderId="6" xfId="0" applyFont="1" applyFill="1" applyBorder="1" applyAlignment="1">
      <alignment/>
    </xf>
    <xf numFmtId="170" fontId="11" fillId="0" borderId="6" xfId="42" applyNumberFormat="1" applyFont="1" applyFill="1" applyBorder="1" applyAlignment="1">
      <alignment/>
    </xf>
    <xf numFmtId="170" fontId="11" fillId="0" borderId="6" xfId="42" applyNumberFormat="1" applyFont="1" applyFill="1" applyBorder="1" applyAlignment="1">
      <alignment horizontal="left"/>
    </xf>
    <xf numFmtId="0" fontId="0" fillId="35" borderId="0" xfId="0" applyNumberFormat="1" applyFont="1" applyFill="1" applyAlignment="1">
      <alignment/>
    </xf>
    <xf numFmtId="0" fontId="3" fillId="35" borderId="0" xfId="0" applyNumberFormat="1" applyFont="1" applyFill="1" applyAlignment="1">
      <alignment horizontal="center"/>
    </xf>
    <xf numFmtId="167" fontId="3" fillId="35" borderId="11" xfId="42" applyFont="1" applyFill="1" applyBorder="1" applyAlignment="1">
      <alignment horizontal="center" vertical="center" wrapText="1"/>
    </xf>
    <xf numFmtId="167" fontId="0" fillId="35" borderId="11" xfId="42" applyFont="1" applyFill="1" applyBorder="1" applyAlignment="1">
      <alignment/>
    </xf>
    <xf numFmtId="167" fontId="0" fillId="35" borderId="11" xfId="42" applyNumberFormat="1" applyFont="1" applyFill="1" applyBorder="1" applyAlignment="1">
      <alignment/>
    </xf>
    <xf numFmtId="167" fontId="3" fillId="35" borderId="11" xfId="42" applyFont="1" applyFill="1" applyBorder="1" applyAlignment="1">
      <alignment/>
    </xf>
    <xf numFmtId="167" fontId="3" fillId="35" borderId="6" xfId="42" applyFont="1" applyFill="1" applyBorder="1" applyAlignment="1">
      <alignment horizontal="center" vertical="center" wrapText="1"/>
    </xf>
    <xf numFmtId="167" fontId="0" fillId="35" borderId="0" xfId="0" applyNumberFormat="1" applyFont="1" applyFill="1" applyAlignment="1">
      <alignment/>
    </xf>
    <xf numFmtId="167" fontId="0" fillId="35" borderId="6" xfId="0" applyNumberFormat="1" applyFont="1" applyFill="1" applyBorder="1" applyAlignment="1">
      <alignment/>
    </xf>
    <xf numFmtId="167" fontId="0" fillId="35" borderId="6" xfId="42" applyFont="1" applyFill="1" applyBorder="1" applyAlignment="1">
      <alignment/>
    </xf>
    <xf numFmtId="167" fontId="3" fillId="35" borderId="6" xfId="0" applyNumberFormat="1" applyFont="1" applyFill="1" applyBorder="1" applyAlignment="1">
      <alignment/>
    </xf>
    <xf numFmtId="2" fontId="3" fillId="35" borderId="0" xfId="0" applyNumberFormat="1" applyFont="1" applyFill="1" applyAlignment="1">
      <alignment/>
    </xf>
    <xf numFmtId="2" fontId="0" fillId="35" borderId="0" xfId="0" applyNumberFormat="1" applyFont="1" applyFill="1" applyAlignment="1">
      <alignment/>
    </xf>
    <xf numFmtId="0" fontId="3" fillId="35" borderId="0" xfId="0" applyNumberFormat="1" applyFont="1" applyFill="1" applyAlignment="1">
      <alignment/>
    </xf>
    <xf numFmtId="0" fontId="37" fillId="35" borderId="0" xfId="0" applyNumberFormat="1" applyFont="1" applyFill="1" applyAlignment="1">
      <alignment/>
    </xf>
    <xf numFmtId="0" fontId="37" fillId="35" borderId="0" xfId="0" applyNumberFormat="1" applyFont="1" applyFill="1" applyAlignment="1">
      <alignment vertical="top" wrapText="1"/>
    </xf>
    <xf numFmtId="0" fontId="38" fillId="35" borderId="0" xfId="0" applyNumberFormat="1" applyFont="1" applyFill="1" applyAlignment="1">
      <alignment horizontal="center"/>
    </xf>
    <xf numFmtId="0" fontId="0" fillId="35" borderId="0" xfId="0" applyNumberFormat="1" applyFont="1" applyFill="1" applyAlignment="1">
      <alignment horizontal="right"/>
    </xf>
    <xf numFmtId="0" fontId="16" fillId="35" borderId="0" xfId="0" applyFont="1" applyFill="1" applyAlignment="1">
      <alignment/>
    </xf>
    <xf numFmtId="0" fontId="22" fillId="35" borderId="0" xfId="0" applyFont="1" applyFill="1" applyAlignment="1">
      <alignment/>
    </xf>
    <xf numFmtId="0" fontId="3" fillId="0" borderId="6" xfId="0" applyNumberFormat="1" applyFont="1" applyFill="1" applyBorder="1" applyAlignment="1">
      <alignment horizontal="center" wrapText="1"/>
    </xf>
    <xf numFmtId="0" fontId="41" fillId="0" borderId="0" xfId="0" applyFont="1" applyFill="1" applyAlignment="1">
      <alignment/>
    </xf>
    <xf numFmtId="0" fontId="41" fillId="0" borderId="6" xfId="0" applyFont="1" applyFill="1" applyBorder="1" applyAlignment="1">
      <alignment/>
    </xf>
    <xf numFmtId="167" fontId="41" fillId="0" borderId="6" xfId="42" applyFont="1" applyFill="1" applyBorder="1" applyAlignment="1">
      <alignment/>
    </xf>
    <xf numFmtId="167" fontId="42" fillId="0" borderId="6" xfId="42" applyFont="1" applyFill="1" applyBorder="1" applyAlignment="1">
      <alignment/>
    </xf>
    <xf numFmtId="2" fontId="41" fillId="0" borderId="0" xfId="0" applyNumberFormat="1" applyFont="1" applyFill="1" applyAlignment="1">
      <alignment/>
    </xf>
    <xf numFmtId="167" fontId="28" fillId="0" borderId="0" xfId="0" applyNumberFormat="1" applyFont="1" applyFill="1" applyAlignment="1">
      <alignment/>
    </xf>
    <xf numFmtId="167" fontId="25" fillId="0" borderId="6" xfId="42" applyFont="1" applyFill="1" applyBorder="1" applyAlignment="1">
      <alignment/>
    </xf>
    <xf numFmtId="0" fontId="33" fillId="0" borderId="6" xfId="0" applyNumberFormat="1" applyFont="1" applyFill="1" applyBorder="1" applyAlignment="1">
      <alignment/>
    </xf>
    <xf numFmtId="180" fontId="40" fillId="0" borderId="20" xfId="42" applyNumberFormat="1" applyFont="1" applyFill="1" applyBorder="1" applyAlignment="1" applyProtection="1">
      <alignment horizontal="center"/>
      <protection/>
    </xf>
    <xf numFmtId="0" fontId="40" fillId="0" borderId="20" xfId="0" applyFont="1" applyFill="1" applyBorder="1" applyAlignment="1">
      <alignment wrapText="1"/>
    </xf>
    <xf numFmtId="178" fontId="43" fillId="0" borderId="20" xfId="42" applyNumberFormat="1" applyFont="1" applyFill="1" applyBorder="1" applyAlignment="1" applyProtection="1">
      <alignment/>
      <protection/>
    </xf>
    <xf numFmtId="182" fontId="43" fillId="0" borderId="20" xfId="0" applyNumberFormat="1" applyFont="1" applyFill="1" applyBorder="1" applyAlignment="1">
      <alignment/>
    </xf>
    <xf numFmtId="167" fontId="43" fillId="0" borderId="20" xfId="42" applyFont="1" applyFill="1" applyBorder="1" applyAlignment="1" applyProtection="1">
      <alignment horizontal="center"/>
      <protection/>
    </xf>
    <xf numFmtId="167" fontId="43" fillId="0" borderId="20" xfId="42" applyFont="1" applyFill="1" applyBorder="1" applyAlignment="1" applyProtection="1">
      <alignment/>
      <protection/>
    </xf>
    <xf numFmtId="2" fontId="43" fillId="0" borderId="20" xfId="0" applyNumberFormat="1" applyFont="1" applyFill="1" applyBorder="1" applyAlignment="1">
      <alignment/>
    </xf>
    <xf numFmtId="178" fontId="43" fillId="0" borderId="0" xfId="42" applyNumberFormat="1" applyFont="1" applyFill="1" applyBorder="1" applyAlignment="1" applyProtection="1">
      <alignment/>
      <protection/>
    </xf>
    <xf numFmtId="0" fontId="43" fillId="0" borderId="20" xfId="0" applyFont="1" applyFill="1" applyBorder="1" applyAlignment="1">
      <alignment/>
    </xf>
    <xf numFmtId="182" fontId="43" fillId="0" borderId="20" xfId="42" applyNumberFormat="1" applyFont="1" applyFill="1" applyBorder="1" applyAlignment="1" applyProtection="1">
      <alignment/>
      <protection/>
    </xf>
    <xf numFmtId="178" fontId="43" fillId="0" borderId="20" xfId="42" applyNumberFormat="1" applyFont="1" applyFill="1" applyBorder="1" applyAlignment="1" applyProtection="1">
      <alignment horizontal="center"/>
      <protection/>
    </xf>
    <xf numFmtId="181" fontId="43" fillId="0" borderId="20" xfId="0" applyNumberFormat="1" applyFont="1" applyFill="1" applyBorder="1" applyAlignment="1">
      <alignment/>
    </xf>
    <xf numFmtId="4" fontId="43" fillId="0" borderId="20" xfId="42" applyNumberFormat="1" applyFont="1" applyFill="1" applyBorder="1" applyAlignment="1" applyProtection="1">
      <alignment/>
      <protection/>
    </xf>
    <xf numFmtId="178" fontId="43" fillId="0" borderId="20" xfId="0" applyNumberFormat="1" applyFont="1" applyFill="1" applyBorder="1" applyAlignment="1">
      <alignment/>
    </xf>
    <xf numFmtId="4" fontId="43" fillId="0" borderId="20" xfId="42" applyNumberFormat="1" applyFont="1" applyFill="1" applyBorder="1" applyAlignment="1" applyProtection="1">
      <alignment horizontal="right"/>
      <protection/>
    </xf>
    <xf numFmtId="178" fontId="44" fillId="0" borderId="21" xfId="0" applyNumberFormat="1" applyFont="1" applyFill="1" applyBorder="1" applyAlignment="1" applyProtection="1">
      <alignment/>
      <protection/>
    </xf>
    <xf numFmtId="178" fontId="43" fillId="0" borderId="22" xfId="42" applyNumberFormat="1" applyFont="1" applyFill="1" applyBorder="1" applyAlignment="1" applyProtection="1">
      <alignment/>
      <protection/>
    </xf>
    <xf numFmtId="0" fontId="43" fillId="0" borderId="0" xfId="0" applyFont="1" applyFill="1" applyAlignment="1">
      <alignment/>
    </xf>
    <xf numFmtId="0" fontId="39" fillId="0" borderId="20" xfId="0" applyFont="1" applyFill="1" applyBorder="1" applyAlignment="1">
      <alignment horizontal="center" wrapText="1"/>
    </xf>
    <xf numFmtId="180" fontId="39" fillId="0" borderId="20" xfId="42" applyNumberFormat="1" applyFont="1" applyFill="1" applyBorder="1" applyAlignment="1" applyProtection="1">
      <alignment horizontal="center"/>
      <protection/>
    </xf>
    <xf numFmtId="0" fontId="39" fillId="0" borderId="20" xfId="0" applyFont="1" applyFill="1" applyBorder="1" applyAlignment="1">
      <alignment horizontal="left" wrapText="1" indent="6"/>
    </xf>
    <xf numFmtId="0" fontId="43" fillId="0" borderId="20" xfId="0" applyFont="1" applyFill="1" applyBorder="1" applyAlignment="1">
      <alignment wrapText="1"/>
    </xf>
    <xf numFmtId="0" fontId="40" fillId="0" borderId="20" xfId="0" applyFont="1" applyFill="1" applyBorder="1" applyAlignment="1">
      <alignment horizontal="left" vertical="center" wrapText="1"/>
    </xf>
    <xf numFmtId="0" fontId="48" fillId="0" borderId="20" xfId="0" applyFont="1" applyFill="1" applyBorder="1" applyAlignment="1">
      <alignment horizontal="left" vertical="center" wrapText="1"/>
    </xf>
    <xf numFmtId="0" fontId="43" fillId="0" borderId="20" xfId="0" applyFont="1" applyFill="1" applyBorder="1" applyAlignment="1">
      <alignment horizontal="left" vertical="center" wrapText="1"/>
    </xf>
    <xf numFmtId="0" fontId="40" fillId="0" borderId="20" xfId="0" applyFont="1" applyFill="1" applyBorder="1" applyAlignment="1">
      <alignment horizontal="left" wrapText="1"/>
    </xf>
    <xf numFmtId="178" fontId="44" fillId="0" borderId="20" xfId="42" applyNumberFormat="1" applyFont="1" applyFill="1" applyBorder="1" applyAlignment="1" applyProtection="1">
      <alignment/>
      <protection/>
    </xf>
    <xf numFmtId="178" fontId="44" fillId="0" borderId="0" xfId="42" applyNumberFormat="1" applyFont="1" applyFill="1" applyBorder="1" applyAlignment="1" applyProtection="1">
      <alignment/>
      <protection/>
    </xf>
    <xf numFmtId="170" fontId="0" fillId="0" borderId="6" xfId="42" applyNumberFormat="1" applyFont="1" applyFill="1" applyBorder="1" applyAlignment="1">
      <alignment horizontal="center"/>
    </xf>
    <xf numFmtId="0" fontId="23" fillId="0" borderId="6" xfId="0" applyFont="1" applyFill="1" applyBorder="1" applyAlignment="1">
      <alignment horizontal="left" vertical="top" wrapText="1"/>
    </xf>
    <xf numFmtId="178" fontId="0" fillId="0" borderId="6" xfId="42" applyNumberFormat="1" applyFont="1" applyFill="1" applyBorder="1" applyAlignment="1">
      <alignment/>
    </xf>
    <xf numFmtId="167" fontId="0" fillId="0" borderId="6" xfId="42" applyFont="1" applyFill="1" applyBorder="1" applyAlignment="1" applyProtection="1">
      <alignment/>
      <protection/>
    </xf>
    <xf numFmtId="167" fontId="0" fillId="0" borderId="0" xfId="42" applyNumberFormat="1" applyFont="1" applyFill="1" applyAlignment="1">
      <alignment/>
    </xf>
    <xf numFmtId="0" fontId="0" fillId="0" borderId="6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 indent="6"/>
    </xf>
    <xf numFmtId="178" fontId="3" fillId="0" borderId="6" xfId="42" applyNumberFormat="1" applyFont="1" applyFill="1" applyBorder="1" applyAlignment="1">
      <alignment/>
    </xf>
    <xf numFmtId="178" fontId="0" fillId="0" borderId="0" xfId="42" applyNumberFormat="1" applyFont="1" applyFill="1" applyBorder="1" applyAlignment="1" applyProtection="1">
      <alignment/>
      <protection/>
    </xf>
    <xf numFmtId="178" fontId="0" fillId="0" borderId="0" xfId="42" applyNumberFormat="1" applyFont="1" applyFill="1" applyBorder="1" applyAlignment="1" applyProtection="1">
      <alignment horizontal="center"/>
      <protection/>
    </xf>
    <xf numFmtId="182" fontId="43" fillId="0" borderId="20" xfId="0" applyNumberFormat="1" applyFont="1" applyFill="1" applyBorder="1" applyAlignment="1">
      <alignment/>
    </xf>
    <xf numFmtId="167" fontId="0" fillId="0" borderId="19" xfId="42" applyNumberFormat="1" applyFont="1" applyFill="1" applyBorder="1" applyAlignment="1">
      <alignment/>
    </xf>
    <xf numFmtId="167" fontId="0" fillId="0" borderId="16" xfId="42" applyNumberFormat="1" applyFont="1" applyFill="1" applyBorder="1" applyAlignment="1">
      <alignment/>
    </xf>
    <xf numFmtId="167" fontId="0" fillId="0" borderId="0" xfId="0" applyNumberFormat="1" applyAlignment="1">
      <alignment/>
    </xf>
    <xf numFmtId="0" fontId="3" fillId="0" borderId="6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/>
    </xf>
    <xf numFmtId="167" fontId="0" fillId="0" borderId="18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167" fontId="0" fillId="0" borderId="14" xfId="0" applyNumberFormat="1" applyFont="1" applyFill="1" applyBorder="1" applyAlignment="1">
      <alignment/>
    </xf>
    <xf numFmtId="178" fontId="13" fillId="0" borderId="6" xfId="42" applyNumberFormat="1" applyFont="1" applyFill="1" applyBorder="1" applyAlignment="1" applyProtection="1">
      <alignment/>
      <protection/>
    </xf>
    <xf numFmtId="167" fontId="0" fillId="0" borderId="0" xfId="62" applyNumberFormat="1" applyFont="1" applyFill="1" applyAlignment="1">
      <alignment/>
    </xf>
    <xf numFmtId="0" fontId="4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10" fontId="0" fillId="0" borderId="6" xfId="62" applyNumberFormat="1" applyFont="1" applyFill="1" applyBorder="1" applyAlignment="1">
      <alignment/>
    </xf>
    <xf numFmtId="0" fontId="13" fillId="0" borderId="6" xfId="0" applyNumberFormat="1" applyFont="1" applyFill="1" applyBorder="1" applyAlignment="1">
      <alignment/>
    </xf>
    <xf numFmtId="0" fontId="50" fillId="0" borderId="6" xfId="0" applyNumberFormat="1" applyFont="1" applyFill="1" applyBorder="1" applyAlignment="1">
      <alignment/>
    </xf>
    <xf numFmtId="0" fontId="12" fillId="0" borderId="6" xfId="0" applyNumberFormat="1" applyFont="1" applyFill="1" applyBorder="1" applyAlignment="1">
      <alignment horizontal="left" vertical="top"/>
    </xf>
    <xf numFmtId="0" fontId="3" fillId="0" borderId="6" xfId="0" applyNumberFormat="1" applyFont="1" applyFill="1" applyBorder="1" applyAlignment="1">
      <alignment horizontal="left"/>
    </xf>
    <xf numFmtId="167" fontId="0" fillId="0" borderId="0" xfId="42" applyFont="1" applyAlignment="1">
      <alignment/>
    </xf>
    <xf numFmtId="2" fontId="0" fillId="0" borderId="0" xfId="0" applyNumberFormat="1" applyAlignment="1">
      <alignment/>
    </xf>
    <xf numFmtId="167" fontId="0" fillId="0" borderId="6" xfId="42" applyFont="1" applyBorder="1" applyAlignment="1">
      <alignment/>
    </xf>
    <xf numFmtId="167" fontId="0" fillId="0" borderId="0" xfId="42" applyFont="1" applyFill="1" applyAlignment="1">
      <alignment horizontal="center"/>
    </xf>
    <xf numFmtId="167" fontId="0" fillId="0" borderId="0" xfId="42" applyFont="1" applyFill="1" applyAlignment="1">
      <alignment/>
    </xf>
    <xf numFmtId="0" fontId="0" fillId="0" borderId="0" xfId="0" applyFont="1" applyFill="1" applyBorder="1" applyAlignment="1">
      <alignment/>
    </xf>
    <xf numFmtId="2" fontId="15" fillId="0" borderId="6" xfId="0" applyNumberFormat="1" applyFont="1" applyFill="1" applyBorder="1" applyAlignment="1">
      <alignment/>
    </xf>
    <xf numFmtId="2" fontId="4" fillId="0" borderId="6" xfId="0" applyNumberFormat="1" applyFont="1" applyFill="1" applyBorder="1" applyAlignment="1">
      <alignment/>
    </xf>
    <xf numFmtId="0" fontId="15" fillId="0" borderId="6" xfId="0" applyNumberFormat="1" applyFont="1" applyFill="1" applyBorder="1" applyAlignment="1">
      <alignment vertical="top" wrapText="1"/>
    </xf>
    <xf numFmtId="167" fontId="15" fillId="0" borderId="6" xfId="42" applyNumberFormat="1" applyFont="1" applyFill="1" applyBorder="1" applyAlignment="1">
      <alignment/>
    </xf>
    <xf numFmtId="179" fontId="43" fillId="0" borderId="20" xfId="42" applyNumberFormat="1" applyFont="1" applyFill="1" applyBorder="1" applyAlignment="1" applyProtection="1">
      <alignment horizontal="center"/>
      <protection/>
    </xf>
    <xf numFmtId="10" fontId="15" fillId="0" borderId="0" xfId="62" applyNumberFormat="1" applyFont="1" applyFill="1" applyBorder="1" applyAlignment="1">
      <alignment/>
    </xf>
    <xf numFmtId="0" fontId="20" fillId="0" borderId="6" xfId="0" applyFont="1" applyFill="1" applyBorder="1" applyAlignment="1">
      <alignment horizontal="left" wrapText="1" indent="1"/>
    </xf>
    <xf numFmtId="0" fontId="3" fillId="0" borderId="0" xfId="0" applyFont="1" applyFill="1" applyAlignment="1">
      <alignment/>
    </xf>
    <xf numFmtId="167" fontId="3" fillId="0" borderId="0" xfId="42" applyFont="1" applyFill="1" applyAlignment="1">
      <alignment/>
    </xf>
    <xf numFmtId="167" fontId="52" fillId="0" borderId="6" xfId="42" applyNumberFormat="1" applyFont="1" applyFill="1" applyBorder="1" applyAlignment="1">
      <alignment/>
    </xf>
    <xf numFmtId="0" fontId="52" fillId="0" borderId="6" xfId="0" applyNumberFormat="1" applyFont="1" applyFill="1" applyBorder="1" applyAlignment="1">
      <alignment/>
    </xf>
    <xf numFmtId="171" fontId="52" fillId="0" borderId="6" xfId="42" applyNumberFormat="1" applyFont="1" applyFill="1" applyBorder="1" applyAlignment="1">
      <alignment/>
    </xf>
    <xf numFmtId="165" fontId="15" fillId="0" borderId="0" xfId="0" applyNumberFormat="1" applyFont="1" applyBorder="1" applyAlignment="1">
      <alignment horizontal="center"/>
    </xf>
    <xf numFmtId="167" fontId="15" fillId="0" borderId="0" xfId="0" applyNumberFormat="1" applyFont="1" applyBorder="1" applyAlignment="1">
      <alignment/>
    </xf>
    <xf numFmtId="167" fontId="4" fillId="0" borderId="0" xfId="0" applyNumberFormat="1" applyFont="1" applyBorder="1" applyAlignment="1">
      <alignment/>
    </xf>
    <xf numFmtId="167" fontId="0" fillId="0" borderId="0" xfId="42" applyFill="1" applyBorder="1" applyAlignment="1">
      <alignment/>
    </xf>
    <xf numFmtId="0" fontId="0" fillId="0" borderId="0" xfId="0" applyFill="1" applyAlignment="1">
      <alignment/>
    </xf>
    <xf numFmtId="2" fontId="0" fillId="0" borderId="6" xfId="0" applyNumberFormat="1" applyFill="1" applyBorder="1" applyAlignment="1">
      <alignment wrapText="1"/>
    </xf>
    <xf numFmtId="0" fontId="0" fillId="0" borderId="6" xfId="0" applyFill="1" applyBorder="1" applyAlignment="1">
      <alignment wrapText="1"/>
    </xf>
    <xf numFmtId="167" fontId="0" fillId="0" borderId="6" xfId="42" applyFont="1" applyFill="1" applyBorder="1" applyAlignment="1">
      <alignment wrapText="1"/>
    </xf>
    <xf numFmtId="10" fontId="0" fillId="0" borderId="6" xfId="62" applyNumberFormat="1" applyFont="1" applyFill="1" applyBorder="1" applyAlignment="1">
      <alignment wrapText="1"/>
    </xf>
    <xf numFmtId="0" fontId="0" fillId="0" borderId="6" xfId="0" applyFill="1" applyBorder="1" applyAlignment="1">
      <alignment/>
    </xf>
    <xf numFmtId="167" fontId="0" fillId="0" borderId="6" xfId="42" applyFill="1" applyBorder="1" applyAlignment="1">
      <alignment/>
    </xf>
    <xf numFmtId="10" fontId="0" fillId="0" borderId="6" xfId="62" applyNumberFormat="1" applyFont="1" applyFill="1" applyBorder="1" applyAlignment="1">
      <alignment/>
    </xf>
    <xf numFmtId="0" fontId="0" fillId="0" borderId="6" xfId="0" applyFill="1" applyBorder="1" applyAlignment="1">
      <alignment wrapText="1" shrinkToFit="1"/>
    </xf>
    <xf numFmtId="0" fontId="51" fillId="0" borderId="6" xfId="0" applyFont="1" applyFill="1" applyBorder="1" applyAlignment="1">
      <alignment/>
    </xf>
    <xf numFmtId="10" fontId="51" fillId="0" borderId="6" xfId="62" applyNumberFormat="1" applyFont="1" applyFill="1" applyBorder="1" applyAlignment="1">
      <alignment/>
    </xf>
    <xf numFmtId="167" fontId="0" fillId="0" borderId="6" xfId="42" applyFont="1" applyFill="1" applyBorder="1" applyAlignment="1">
      <alignment/>
    </xf>
    <xf numFmtId="0" fontId="45" fillId="0" borderId="20" xfId="0" applyNumberFormat="1" applyFont="1" applyFill="1" applyBorder="1" applyAlignment="1">
      <alignment/>
    </xf>
    <xf numFmtId="0" fontId="45" fillId="0" borderId="20" xfId="0" applyNumberFormat="1" applyFont="1" applyFill="1" applyBorder="1" applyAlignment="1">
      <alignment horizontal="left"/>
    </xf>
    <xf numFmtId="0" fontId="43" fillId="0" borderId="0" xfId="0" applyNumberFormat="1" applyFont="1" applyFill="1" applyAlignment="1">
      <alignment/>
    </xf>
    <xf numFmtId="0" fontId="28" fillId="0" borderId="6" xfId="0" applyFont="1" applyFill="1" applyBorder="1" applyAlignment="1">
      <alignment/>
    </xf>
    <xf numFmtId="167" fontId="0" fillId="0" borderId="0" xfId="42" applyFill="1" applyBorder="1" applyAlignment="1">
      <alignment/>
    </xf>
    <xf numFmtId="0" fontId="3" fillId="0" borderId="6" xfId="0" applyFont="1" applyFill="1" applyBorder="1" applyAlignment="1">
      <alignment/>
    </xf>
    <xf numFmtId="167" fontId="3" fillId="0" borderId="6" xfId="0" applyNumberFormat="1" applyFont="1" applyFill="1" applyBorder="1" applyAlignment="1">
      <alignment/>
    </xf>
    <xf numFmtId="167" fontId="0" fillId="0" borderId="6" xfId="0" applyNumberFormat="1" applyFill="1" applyBorder="1" applyAlignment="1">
      <alignment/>
    </xf>
    <xf numFmtId="0" fontId="0" fillId="0" borderId="6" xfId="0" applyFill="1" applyBorder="1" applyAlignment="1">
      <alignment horizontal="left"/>
    </xf>
    <xf numFmtId="0" fontId="12" fillId="0" borderId="0" xfId="0" applyNumberFormat="1" applyFont="1" applyFill="1" applyAlignment="1">
      <alignment horizontal="center"/>
    </xf>
    <xf numFmtId="16" fontId="0" fillId="0" borderId="0" xfId="0" applyNumberFormat="1" applyFont="1" applyFill="1" applyAlignment="1">
      <alignment/>
    </xf>
    <xf numFmtId="2" fontId="37" fillId="0" borderId="0" xfId="0" applyNumberFormat="1" applyFont="1" applyFill="1" applyAlignment="1">
      <alignment/>
    </xf>
    <xf numFmtId="2" fontId="38" fillId="0" borderId="0" xfId="0" applyNumberFormat="1" applyFont="1" applyFill="1" applyAlignment="1">
      <alignment/>
    </xf>
    <xf numFmtId="0" fontId="43" fillId="0" borderId="20" xfId="0" applyNumberFormat="1" applyFont="1" applyFill="1" applyBorder="1" applyAlignment="1">
      <alignment/>
    </xf>
    <xf numFmtId="0" fontId="44" fillId="0" borderId="20" xfId="0" applyNumberFormat="1" applyFont="1" applyFill="1" applyBorder="1" applyAlignment="1">
      <alignment horizontal="right"/>
    </xf>
    <xf numFmtId="178" fontId="44" fillId="0" borderId="20" xfId="42" applyNumberFormat="1" applyFont="1" applyFill="1" applyBorder="1" applyAlignment="1" applyProtection="1">
      <alignment horizontal="center" vertical="center"/>
      <protection/>
    </xf>
    <xf numFmtId="179" fontId="44" fillId="0" borderId="20" xfId="42" applyNumberFormat="1" applyFont="1" applyFill="1" applyBorder="1" applyAlignment="1" applyProtection="1">
      <alignment horizontal="center" vertical="center"/>
      <protection/>
    </xf>
    <xf numFmtId="178" fontId="43" fillId="0" borderId="0" xfId="42" applyNumberFormat="1" applyFont="1" applyFill="1" applyBorder="1" applyAlignment="1" applyProtection="1">
      <alignment vertical="center"/>
      <protection/>
    </xf>
    <xf numFmtId="178" fontId="43" fillId="0" borderId="20" xfId="42" applyNumberFormat="1" applyFont="1" applyFill="1" applyBorder="1" applyAlignment="1" applyProtection="1">
      <alignment horizontal="center" vertical="center"/>
      <protection/>
    </xf>
    <xf numFmtId="167" fontId="44" fillId="0" borderId="20" xfId="42" applyFont="1" applyFill="1" applyBorder="1" applyAlignment="1" applyProtection="1">
      <alignment horizontal="center" vertical="center"/>
      <protection/>
    </xf>
    <xf numFmtId="179" fontId="44" fillId="0" borderId="20" xfId="42" applyNumberFormat="1" applyFont="1" applyFill="1" applyBorder="1" applyAlignment="1" applyProtection="1">
      <alignment horizontal="center" vertical="center" wrapText="1"/>
      <protection/>
    </xf>
    <xf numFmtId="178" fontId="44" fillId="0" borderId="20" xfId="42" applyNumberFormat="1" applyFont="1" applyFill="1" applyBorder="1" applyAlignment="1" applyProtection="1">
      <alignment horizontal="center" vertical="center" wrapText="1"/>
      <protection/>
    </xf>
    <xf numFmtId="178" fontId="46" fillId="0" borderId="20" xfId="42" applyNumberFormat="1" applyFont="1" applyFill="1" applyBorder="1" applyAlignment="1" applyProtection="1">
      <alignment horizontal="center" vertical="center" wrapText="1"/>
      <protection/>
    </xf>
    <xf numFmtId="178" fontId="47" fillId="0" borderId="20" xfId="42" applyNumberFormat="1" applyFont="1" applyFill="1" applyBorder="1" applyAlignment="1" applyProtection="1">
      <alignment horizontal="center" vertical="center" wrapText="1"/>
      <protection/>
    </xf>
    <xf numFmtId="1" fontId="44" fillId="0" borderId="20" xfId="42" applyNumberFormat="1" applyFont="1" applyFill="1" applyBorder="1" applyAlignment="1" applyProtection="1">
      <alignment horizontal="center" vertical="center"/>
      <protection/>
    </xf>
    <xf numFmtId="1" fontId="44" fillId="0" borderId="20" xfId="42" applyNumberFormat="1" applyFont="1" applyFill="1" applyBorder="1" applyAlignment="1" applyProtection="1">
      <alignment horizontal="center" vertical="center" wrapText="1"/>
      <protection/>
    </xf>
    <xf numFmtId="1" fontId="43" fillId="0" borderId="20" xfId="0" applyNumberFormat="1" applyFont="1" applyFill="1" applyBorder="1" applyAlignment="1">
      <alignment/>
    </xf>
    <xf numFmtId="0" fontId="40" fillId="0" borderId="20" xfId="0" applyFont="1" applyFill="1" applyBorder="1" applyAlignment="1">
      <alignment/>
    </xf>
    <xf numFmtId="182" fontId="44" fillId="0" borderId="20" xfId="0" applyNumberFormat="1" applyFont="1" applyFill="1" applyBorder="1" applyAlignment="1">
      <alignment/>
    </xf>
    <xf numFmtId="178" fontId="43" fillId="0" borderId="0" xfId="42" applyNumberFormat="1" applyFont="1" applyFill="1" applyBorder="1" applyAlignment="1" applyProtection="1">
      <alignment horizontal="center"/>
      <protection/>
    </xf>
    <xf numFmtId="0" fontId="44" fillId="0" borderId="20" xfId="0" applyNumberFormat="1" applyFont="1" applyFill="1" applyBorder="1" applyAlignment="1">
      <alignment/>
    </xf>
    <xf numFmtId="0" fontId="44" fillId="0" borderId="20" xfId="0" applyNumberFormat="1" applyFont="1" applyFill="1" applyBorder="1" applyAlignment="1">
      <alignment horizontal="center"/>
    </xf>
    <xf numFmtId="182" fontId="44" fillId="0" borderId="20" xfId="42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/>
    </xf>
    <xf numFmtId="170" fontId="15" fillId="0" borderId="0" xfId="0" applyNumberFormat="1" applyFont="1" applyFill="1" applyBorder="1" applyAlignment="1">
      <alignment/>
    </xf>
    <xf numFmtId="176" fontId="15" fillId="0" borderId="0" xfId="0" applyNumberFormat="1" applyFont="1" applyFill="1" applyBorder="1" applyAlignment="1">
      <alignment/>
    </xf>
    <xf numFmtId="180" fontId="0" fillId="0" borderId="23" xfId="42" applyNumberFormat="1" applyFont="1" applyFill="1" applyBorder="1" applyAlignment="1" applyProtection="1">
      <alignment horizontal="center"/>
      <protection/>
    </xf>
    <xf numFmtId="0" fontId="3" fillId="0" borderId="23" xfId="0" applyFont="1" applyFill="1" applyBorder="1" applyAlignment="1">
      <alignment horizontal="left" wrapText="1" indent="6"/>
    </xf>
    <xf numFmtId="178" fontId="0" fillId="0" borderId="23" xfId="42" applyNumberFormat="1" applyFont="1" applyFill="1" applyBorder="1" applyAlignment="1" applyProtection="1">
      <alignment/>
      <protection/>
    </xf>
    <xf numFmtId="167" fontId="0" fillId="0" borderId="0" xfId="42" applyNumberFormat="1" applyFont="1" applyFill="1" applyBorder="1" applyAlignment="1">
      <alignment/>
    </xf>
    <xf numFmtId="178" fontId="3" fillId="0" borderId="0" xfId="42" applyNumberFormat="1" applyFont="1" applyFill="1" applyBorder="1" applyAlignment="1" applyProtection="1">
      <alignment/>
      <protection/>
    </xf>
    <xf numFmtId="178" fontId="0" fillId="0" borderId="0" xfId="0" applyNumberFormat="1" applyFont="1" applyFill="1" applyBorder="1" applyAlignment="1">
      <alignment/>
    </xf>
    <xf numFmtId="175" fontId="23" fillId="0" borderId="0" xfId="42" applyNumberFormat="1" applyFont="1" applyFill="1" applyBorder="1" applyAlignment="1">
      <alignment/>
    </xf>
    <xf numFmtId="167" fontId="23" fillId="0" borderId="0" xfId="42" applyNumberFormat="1" applyFont="1" applyFill="1" applyBorder="1" applyAlignment="1">
      <alignment/>
    </xf>
    <xf numFmtId="0" fontId="3" fillId="0" borderId="0" xfId="0" applyNumberFormat="1" applyFont="1" applyFill="1" applyAlignment="1">
      <alignment horizontal="left"/>
    </xf>
    <xf numFmtId="0" fontId="12" fillId="0" borderId="0" xfId="0" applyNumberFormat="1" applyFont="1" applyFill="1" applyBorder="1" applyAlignment="1">
      <alignment horizontal="centerContinuous"/>
    </xf>
    <xf numFmtId="0" fontId="12" fillId="0" borderId="0" xfId="0" applyNumberFormat="1" applyFont="1" applyFill="1" applyBorder="1" applyAlignment="1">
      <alignment/>
    </xf>
    <xf numFmtId="0" fontId="0" fillId="0" borderId="6" xfId="0" applyNumberFormat="1" applyFont="1" applyFill="1" applyBorder="1" applyAlignment="1">
      <alignment horizontal="left" wrapText="1"/>
    </xf>
    <xf numFmtId="0" fontId="0" fillId="0" borderId="6" xfId="0" applyNumberFormat="1" applyFont="1" applyFill="1" applyBorder="1" applyAlignment="1">
      <alignment horizontal="left" wrapText="1" indent="5"/>
    </xf>
    <xf numFmtId="0" fontId="3" fillId="0" borderId="6" xfId="0" applyNumberFormat="1" applyFont="1" applyFill="1" applyBorder="1" applyAlignment="1">
      <alignment horizontal="left" wrapText="1"/>
    </xf>
    <xf numFmtId="0" fontId="53" fillId="0" borderId="0" xfId="0" applyNumberFormat="1" applyFont="1" applyFill="1" applyAlignment="1">
      <alignment horizontal="centerContinuous"/>
    </xf>
    <xf numFmtId="0" fontId="0" fillId="0" borderId="0" xfId="0" applyNumberFormat="1" applyFont="1" applyFill="1" applyAlignment="1">
      <alignment/>
    </xf>
    <xf numFmtId="167" fontId="3" fillId="0" borderId="0" xfId="42" applyFont="1" applyFill="1" applyBorder="1" applyAlignment="1">
      <alignment horizontal="right"/>
    </xf>
    <xf numFmtId="0" fontId="53" fillId="0" borderId="0" xfId="0" applyNumberFormat="1" applyFont="1" applyFill="1" applyAlignment="1">
      <alignment horizontal="left"/>
    </xf>
    <xf numFmtId="0" fontId="54" fillId="0" borderId="0" xfId="0" applyNumberFormat="1" applyFont="1" applyFill="1" applyAlignment="1">
      <alignment horizontal="right"/>
    </xf>
    <xf numFmtId="0" fontId="0" fillId="0" borderId="0" xfId="0" applyNumberFormat="1" applyFont="1" applyFill="1" applyAlignment="1">
      <alignment/>
    </xf>
    <xf numFmtId="0" fontId="0" fillId="0" borderId="6" xfId="0" applyNumberFormat="1" applyFont="1" applyFill="1" applyBorder="1" applyAlignment="1">
      <alignment horizontal="center" wrapText="1"/>
    </xf>
    <xf numFmtId="0" fontId="0" fillId="0" borderId="6" xfId="0" applyNumberFormat="1" applyFont="1" applyFill="1" applyBorder="1" applyAlignment="1">
      <alignment horizontal="center"/>
    </xf>
    <xf numFmtId="0" fontId="52" fillId="0" borderId="0" xfId="0" applyNumberFormat="1" applyFont="1" applyFill="1" applyAlignment="1">
      <alignment/>
    </xf>
    <xf numFmtId="0" fontId="55" fillId="0" borderId="24" xfId="0" applyNumberFormat="1" applyFont="1" applyFill="1" applyBorder="1" applyAlignment="1">
      <alignment/>
    </xf>
    <xf numFmtId="0" fontId="55" fillId="0" borderId="0" xfId="0" applyNumberFormat="1" applyFont="1" applyFill="1" applyBorder="1" applyAlignment="1">
      <alignment/>
    </xf>
    <xf numFmtId="0" fontId="32" fillId="0" borderId="17" xfId="0" applyFont="1" applyFill="1" applyBorder="1" applyAlignment="1">
      <alignment horizontal="center" wrapText="1"/>
    </xf>
    <xf numFmtId="167" fontId="0" fillId="0" borderId="25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2" fillId="0" borderId="24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top" wrapText="1"/>
    </xf>
    <xf numFmtId="167" fontId="52" fillId="0" borderId="0" xfId="0" applyNumberFormat="1" applyFont="1" applyFill="1" applyAlignment="1">
      <alignment/>
    </xf>
    <xf numFmtId="0" fontId="52" fillId="0" borderId="0" xfId="0" applyFont="1" applyAlignment="1">
      <alignment/>
    </xf>
    <xf numFmtId="167" fontId="0" fillId="0" borderId="6" xfId="0" applyNumberFormat="1" applyBorder="1" applyAlignment="1">
      <alignment/>
    </xf>
    <xf numFmtId="2" fontId="0" fillId="0" borderId="6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67" fontId="0" fillId="0" borderId="28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0" xfId="0" applyBorder="1" applyAlignment="1">
      <alignment/>
    </xf>
    <xf numFmtId="0" fontId="0" fillId="0" borderId="30" xfId="0" applyBorder="1" applyAlignment="1">
      <alignment/>
    </xf>
    <xf numFmtId="167" fontId="0" fillId="0" borderId="30" xfId="42" applyFont="1" applyBorder="1" applyAlignment="1">
      <alignment/>
    </xf>
    <xf numFmtId="167" fontId="0" fillId="0" borderId="30" xfId="0" applyNumberForma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167" fontId="0" fillId="0" borderId="33" xfId="0" applyNumberFormat="1" applyBorder="1" applyAlignment="1">
      <alignment/>
    </xf>
    <xf numFmtId="0" fontId="91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178" fontId="44" fillId="0" borderId="20" xfId="42" applyNumberFormat="1" applyFont="1" applyFill="1" applyBorder="1" applyAlignment="1" applyProtection="1">
      <alignment horizontal="center" vertical="center"/>
      <protection/>
    </xf>
    <xf numFmtId="178" fontId="46" fillId="0" borderId="20" xfId="42" applyNumberFormat="1" applyFont="1" applyFill="1" applyBorder="1" applyAlignment="1" applyProtection="1">
      <alignment horizontal="center" vertical="center" wrapText="1"/>
      <protection/>
    </xf>
    <xf numFmtId="167" fontId="3" fillId="0" borderId="6" xfId="0" applyNumberFormat="1" applyFont="1" applyFill="1" applyBorder="1" applyAlignment="1">
      <alignment horizontal="center"/>
    </xf>
    <xf numFmtId="167" fontId="3" fillId="0" borderId="6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0" fillId="0" borderId="6" xfId="0" applyNumberFormat="1" applyFill="1" applyBorder="1" applyAlignment="1">
      <alignment horizontal="left" wrapText="1"/>
    </xf>
    <xf numFmtId="0" fontId="4" fillId="0" borderId="6" xfId="0" applyNumberFormat="1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 vertical="top" wrapText="1"/>
    </xf>
    <xf numFmtId="0" fontId="15" fillId="0" borderId="0" xfId="0" applyNumberFormat="1" applyFont="1" applyFill="1" applyBorder="1" applyAlignment="1">
      <alignment horizontal="left" wrapText="1"/>
    </xf>
    <xf numFmtId="0" fontId="0" fillId="0" borderId="0" xfId="0" applyNumberFormat="1" applyFont="1" applyFill="1" applyBorder="1" applyAlignment="1">
      <alignment horizontal="center"/>
    </xf>
    <xf numFmtId="0" fontId="52" fillId="0" borderId="0" xfId="0" applyNumberFormat="1" applyFont="1" applyFill="1" applyBorder="1" applyAlignment="1">
      <alignment horizontal="left" wrapText="1"/>
    </xf>
    <xf numFmtId="0" fontId="29" fillId="0" borderId="0" xfId="0" applyNumberFormat="1" applyFont="1" applyFill="1" applyAlignment="1">
      <alignment horizontal="center"/>
    </xf>
    <xf numFmtId="167" fontId="18" fillId="0" borderId="0" xfId="0" applyNumberFormat="1" applyFont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38" fillId="0" borderId="15" xfId="0" applyFont="1" applyFill="1" applyBorder="1" applyAlignment="1">
      <alignment horizontal="center"/>
    </xf>
    <xf numFmtId="0" fontId="32" fillId="0" borderId="6" xfId="0" applyFont="1" applyFill="1" applyBorder="1" applyAlignment="1">
      <alignment horizontal="center" wrapText="1"/>
    </xf>
    <xf numFmtId="0" fontId="32" fillId="0" borderId="11" xfId="0" applyFont="1" applyFill="1" applyBorder="1" applyAlignment="1">
      <alignment horizontal="center" wrapText="1"/>
    </xf>
    <xf numFmtId="0" fontId="32" fillId="0" borderId="13" xfId="0" applyFont="1" applyFill="1" applyBorder="1" applyAlignment="1">
      <alignment horizontal="center" wrapText="1"/>
    </xf>
    <xf numFmtId="0" fontId="32" fillId="0" borderId="12" xfId="0" applyFont="1" applyFill="1" applyBorder="1" applyAlignment="1">
      <alignment horizontal="center" wrapText="1"/>
    </xf>
    <xf numFmtId="0" fontId="32" fillId="0" borderId="11" xfId="0" applyFont="1" applyFill="1" applyBorder="1" applyAlignment="1">
      <alignment horizontal="center"/>
    </xf>
    <xf numFmtId="0" fontId="32" fillId="0" borderId="13" xfId="0" applyFont="1" applyFill="1" applyBorder="1" applyAlignment="1">
      <alignment horizontal="center"/>
    </xf>
    <xf numFmtId="0" fontId="32" fillId="0" borderId="12" xfId="0" applyFont="1" applyFill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 horizontal="left" wrapText="1"/>
    </xf>
  </cellXfs>
  <cellStyles count="54">
    <cellStyle name="Normal" xfId="0"/>
    <cellStyle name="ColLevel_0" xfId="2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Grey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Input [yellow]" xfId="56"/>
    <cellStyle name="Linked Cell" xfId="57"/>
    <cellStyle name="Neutral" xfId="58"/>
    <cellStyle name="Normal - Style1" xfId="59"/>
    <cellStyle name="Note" xfId="60"/>
    <cellStyle name="Output" xfId="61"/>
    <cellStyle name="Percent" xfId="62"/>
    <cellStyle name="Percent [2]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externalLink" Target="externalLinks/externalLink1.xml" /><Relationship Id="rId37" Type="http://schemas.openxmlformats.org/officeDocument/2006/relationships/externalLink" Target="externalLinks/externalLink2.xml" /><Relationship Id="rId38" Type="http://schemas.openxmlformats.org/officeDocument/2006/relationships/externalLink" Target="externalLinks/externalLink3.xml" /><Relationship Id="rId39" Type="http://schemas.openxmlformats.org/officeDocument/2006/relationships/externalLink" Target="externalLinks/externalLink4.xml" /><Relationship Id="rId40" Type="http://schemas.openxmlformats.org/officeDocument/2006/relationships/externalLink" Target="externalLinks/externalLink5.xml" /><Relationship Id="rId41" Type="http://schemas.openxmlformats.org/officeDocument/2006/relationships/externalLink" Target="externalLinks/externalLink6.xml" /><Relationship Id="rId4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nzipped\Orissa\Orissa\F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xe.dirf\d\orissa\FI%20PROJECTION\Bonds%20to%20cpsu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orissa\FI%20PROJECTION\Bonds%20to%20cpsu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skrao\TARIFF_Optcl\OPTCL\Accts%20&amp;%20Audit_Optcl\Annual%20Accounts_OPTCL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skrao\TARIFF_Optcl\OPTCL\Accts%20&amp;%20Audit_Optcl\FY%202005-06\OPTCL%20accounts%20with%20CFS%20(RVSD-%20CFS)%202005-06%20dt06.11.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Official%20correspondence\TRF-1%20to%2027%20-ARR(2012-13)-15.11.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-1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nd (REv)"/>
      <sheetName val="Bond"/>
      <sheetName val="details"/>
      <sheetName val="Terms &amp; Cond."/>
      <sheetName val="Calculatio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ond (REv)"/>
      <sheetName val="Bond"/>
      <sheetName val="details"/>
      <sheetName val="Terms &amp; Cond."/>
      <sheetName val="Calculatio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Index"/>
      <sheetName val="BS"/>
      <sheetName val="PL"/>
      <sheetName val="Sch-1-Sh.Cap."/>
      <sheetName val="Sch-2-Res. &amp; Sur."/>
      <sheetName val="Sch-3-Loan Fund"/>
      <sheetName val="Input Sheet to Sch-3-Loan fund"/>
      <sheetName val="Sch-4-Fixed Assets"/>
      <sheetName val="Sch-5-CWIP"/>
      <sheetName val="Sch-6-Investments"/>
      <sheetName val="Sch-7-Stores&amp;Spr"/>
      <sheetName val="Sch-8-S.Drs"/>
      <sheetName val="Sch-9-Cash &amp; Bank"/>
      <sheetName val="Sch-10-Other CA "/>
      <sheetName val="Sch-11-Loans &amp; advances"/>
      <sheetName val="Sch-12-Curr.Liab &amp; Provn"/>
      <sheetName val="Sch-13-Misc.Exp"/>
      <sheetName val="Sch-14-Sale of Power"/>
      <sheetName val="Sch-15-Other Income"/>
      <sheetName val="Sch-16-Dist. &amp; A &amp; G Exp"/>
      <sheetName val="Sch-17-Int.&amp;Fin.Ch"/>
      <sheetName val="Sch-18-Net Prior Period"/>
      <sheetName val="Finance Charges"/>
    </sheetNames>
    <sheetDataSet>
      <sheetData sheetId="0">
        <row r="11">
          <cell r="H11" t="str">
            <v>Name Of Premises/Building/Village</v>
          </cell>
        </row>
        <row r="14">
          <cell r="H14" t="str">
            <v>Area/Locality</v>
          </cell>
        </row>
        <row r="17">
          <cell r="H17" t="str">
            <v>State</v>
          </cell>
        </row>
        <row r="18">
          <cell r="H18" t="str">
            <v>ORISSA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alance Sheet"/>
      <sheetName val="Profit &amp; Loss Accounts"/>
      <sheetName val="Schedule 1&amp;2"/>
      <sheetName val="Schedule 3"/>
      <sheetName val="Schedule 4"/>
      <sheetName val="Schedule 5"/>
      <sheetName val="Schedule 6,7&amp;8"/>
      <sheetName val="Schedule 9,10,11,12 &amp; 13"/>
      <sheetName val="Schedule 14&amp;15"/>
      <sheetName val="Schedule 16&amp;17"/>
      <sheetName val="Schedule 18"/>
      <sheetName val="Cash Flow"/>
      <sheetName val="workings(CF)"/>
      <sheetName val="BS(Workings)"/>
      <sheetName val="FA(REVISED)"/>
      <sheetName val="Rec. Sheet"/>
    </sheetNames>
    <sheetDataSet>
      <sheetData sheetId="1">
        <row r="23">
          <cell r="D23">
            <v>-2286085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U Handled "/>
      <sheetName val="Contents"/>
      <sheetName val="TRF-1"/>
      <sheetName val="TRF-2"/>
      <sheetName val="TRF-3"/>
      <sheetName val="TRF-4"/>
      <sheetName val="TRF-5"/>
      <sheetName val="TRF-6"/>
      <sheetName val="TRF-7"/>
      <sheetName val="TRF-8"/>
      <sheetName val="TRF-9"/>
      <sheetName val="TRF-10"/>
      <sheetName val="TRF-11"/>
      <sheetName val="TRF -12"/>
      <sheetName val="TRF-13"/>
      <sheetName val="TRF-14"/>
      <sheetName val="TRF-15"/>
      <sheetName val="TRF-16"/>
      <sheetName val="TRF17"/>
      <sheetName val="TRF-18"/>
      <sheetName val="TRF-19"/>
      <sheetName val="TRF-20"/>
      <sheetName val="TRF-21"/>
      <sheetName val="TRF-22"/>
      <sheetName val="TRF-23"/>
      <sheetName val="TRF-24"/>
      <sheetName val="TRF-25"/>
      <sheetName val="TRF-26"/>
      <sheetName val="TRF-2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comments" Target="../comments2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1">
      <selection activeCell="A2" sqref="A2"/>
    </sheetView>
  </sheetViews>
  <sheetFormatPr defaultColWidth="14.7109375" defaultRowHeight="12.75"/>
  <cols>
    <col min="1" max="1" width="6.00390625" style="62" customWidth="1"/>
    <col min="2" max="2" width="49.00390625" style="62" customWidth="1"/>
    <col min="3" max="3" width="11.7109375" style="88" hidden="1" customWidth="1"/>
    <col min="4" max="5" width="12.00390625" style="88" hidden="1" customWidth="1"/>
    <col min="6" max="6" width="11.421875" style="88" customWidth="1"/>
    <col min="7" max="7" width="13.28125" style="62" customWidth="1"/>
    <col min="8" max="8" width="13.7109375" style="62" customWidth="1"/>
    <col min="9" max="16384" width="14.7109375" style="62" customWidth="1"/>
  </cols>
  <sheetData>
    <row r="1" ht="12.75">
      <c r="A1" s="9" t="s">
        <v>1398</v>
      </c>
    </row>
    <row r="2" ht="12.75">
      <c r="D2" s="62"/>
    </row>
    <row r="3" spans="2:7" ht="12.75">
      <c r="B3" s="89" t="s">
        <v>1350</v>
      </c>
      <c r="D3" s="62"/>
      <c r="F3" s="185"/>
      <c r="G3" s="185" t="s">
        <v>807</v>
      </c>
    </row>
    <row r="4" spans="2:4" ht="12.75">
      <c r="B4" s="89" t="s">
        <v>1351</v>
      </c>
      <c r="D4" s="62"/>
    </row>
    <row r="5" spans="2:4" ht="12.75">
      <c r="B5" s="89" t="s">
        <v>1352</v>
      </c>
      <c r="D5" s="62"/>
    </row>
    <row r="6" spans="2:7" ht="12.75">
      <c r="B6" s="69"/>
      <c r="D6" s="62"/>
      <c r="G6" s="188" t="s">
        <v>1222</v>
      </c>
    </row>
    <row r="7" spans="1:6" ht="12.75">
      <c r="A7" s="186" t="s">
        <v>623</v>
      </c>
      <c r="B7" s="187"/>
      <c r="C7" s="187"/>
      <c r="D7" s="187"/>
      <c r="E7" s="187"/>
      <c r="F7" s="187"/>
    </row>
    <row r="8" spans="1:8" ht="12.75">
      <c r="A8" s="154"/>
      <c r="B8" s="154"/>
      <c r="E8" s="62"/>
      <c r="F8" s="62"/>
      <c r="H8" s="188"/>
    </row>
    <row r="9" spans="1:8" ht="24.75" customHeight="1">
      <c r="A9" s="11"/>
      <c r="B9" s="11"/>
      <c r="C9" s="90" t="s">
        <v>908</v>
      </c>
      <c r="D9" s="90" t="s">
        <v>178</v>
      </c>
      <c r="E9" s="90" t="s">
        <v>436</v>
      </c>
      <c r="F9" s="90" t="s">
        <v>242</v>
      </c>
      <c r="G9" s="90" t="s">
        <v>1356</v>
      </c>
      <c r="H9" s="90" t="s">
        <v>1357</v>
      </c>
    </row>
    <row r="10" spans="1:8" ht="12.75">
      <c r="A10" s="11"/>
      <c r="B10" s="11"/>
      <c r="C10" s="58"/>
      <c r="D10" s="58"/>
      <c r="E10" s="58"/>
      <c r="F10" s="58"/>
      <c r="G10" s="11"/>
      <c r="H10" s="11"/>
    </row>
    <row r="11" spans="1:8" ht="12.75">
      <c r="A11" s="13" t="s">
        <v>599</v>
      </c>
      <c r="B11" s="11"/>
      <c r="C11" s="58"/>
      <c r="D11" s="58"/>
      <c r="E11" s="58"/>
      <c r="F11" s="58"/>
      <c r="G11" s="11"/>
      <c r="H11" s="11"/>
    </row>
    <row r="12" spans="1:8" ht="25.5">
      <c r="A12" s="131" t="s">
        <v>1287</v>
      </c>
      <c r="B12" s="132" t="s">
        <v>965</v>
      </c>
      <c r="C12" s="58">
        <f>'TRF-25'!D30*0</f>
        <v>0</v>
      </c>
      <c r="D12" s="58">
        <v>0</v>
      </c>
      <c r="E12" s="58">
        <f>'TRF-25'!E30*0</f>
        <v>0</v>
      </c>
      <c r="F12" s="58"/>
      <c r="G12" s="58">
        <f>'TRF-25'!F30*0</f>
        <v>0</v>
      </c>
      <c r="H12" s="58">
        <f>'TRF-25'!G30*0</f>
        <v>0</v>
      </c>
    </row>
    <row r="13" spans="1:8" ht="12.75">
      <c r="A13" s="11"/>
      <c r="B13" s="11"/>
      <c r="C13" s="58"/>
      <c r="D13" s="58"/>
      <c r="E13" s="58"/>
      <c r="F13" s="58"/>
      <c r="G13" s="11"/>
      <c r="H13" s="11"/>
    </row>
    <row r="14" spans="1:8" ht="12.75">
      <c r="A14" s="131" t="s">
        <v>1289</v>
      </c>
      <c r="B14" s="132" t="s">
        <v>1302</v>
      </c>
      <c r="C14" s="58">
        <v>0</v>
      </c>
      <c r="D14" s="58">
        <v>0</v>
      </c>
      <c r="E14" s="58">
        <v>0</v>
      </c>
      <c r="F14" s="58"/>
      <c r="G14" s="58">
        <v>0</v>
      </c>
      <c r="H14" s="58">
        <v>0</v>
      </c>
    </row>
    <row r="15" spans="1:8" ht="12.75">
      <c r="A15" s="11"/>
      <c r="B15" s="132"/>
      <c r="C15" s="58"/>
      <c r="D15" s="58"/>
      <c r="E15" s="58"/>
      <c r="F15" s="58"/>
      <c r="G15" s="11"/>
      <c r="H15" s="11"/>
    </row>
    <row r="16" spans="1:8" ht="12.75">
      <c r="A16" s="131" t="s">
        <v>1290</v>
      </c>
      <c r="B16" s="132" t="s">
        <v>1303</v>
      </c>
      <c r="C16" s="58">
        <f>'TRF-25'!D34*0</f>
        <v>0</v>
      </c>
      <c r="D16" s="58">
        <f>'TRF-25'!E34*0</f>
        <v>0</v>
      </c>
      <c r="E16" s="58">
        <f>'TRF-25'!F34*0</f>
        <v>0</v>
      </c>
      <c r="F16" s="58"/>
      <c r="G16" s="11"/>
      <c r="H16" s="11"/>
    </row>
    <row r="17" spans="1:8" ht="12.75">
      <c r="A17" s="11"/>
      <c r="B17" s="132"/>
      <c r="C17" s="58"/>
      <c r="D17" s="58"/>
      <c r="E17" s="58"/>
      <c r="F17" s="58"/>
      <c r="G17" s="11"/>
      <c r="H17" s="11"/>
    </row>
    <row r="18" spans="1:8" ht="25.5">
      <c r="A18" s="131" t="s">
        <v>1304</v>
      </c>
      <c r="B18" s="132" t="s">
        <v>1329</v>
      </c>
      <c r="C18" s="58">
        <f>'TRF-26'!B35*0</f>
        <v>0</v>
      </c>
      <c r="D18" s="58">
        <f>'TRF-26'!F35*0</f>
        <v>0</v>
      </c>
      <c r="E18" s="58">
        <v>0</v>
      </c>
      <c r="F18" s="58"/>
      <c r="G18" s="58">
        <v>0</v>
      </c>
      <c r="H18" s="58">
        <v>0</v>
      </c>
    </row>
    <row r="19" spans="1:8" ht="12.75">
      <c r="A19" s="11"/>
      <c r="B19" s="132"/>
      <c r="C19" s="58"/>
      <c r="D19" s="58"/>
      <c r="E19" s="58"/>
      <c r="F19" s="58"/>
      <c r="G19" s="11"/>
      <c r="H19" s="11"/>
    </row>
    <row r="20" spans="1:8" ht="25.5">
      <c r="A20" s="131" t="s">
        <v>1330</v>
      </c>
      <c r="B20" s="132" t="s">
        <v>1331</v>
      </c>
      <c r="C20" s="58"/>
      <c r="D20" s="58"/>
      <c r="E20" s="58"/>
      <c r="F20" s="58"/>
      <c r="G20" s="11"/>
      <c r="H20" s="11"/>
    </row>
    <row r="21" spans="1:8" ht="12.75">
      <c r="A21" s="11"/>
      <c r="B21" s="132" t="s">
        <v>1332</v>
      </c>
      <c r="C21" s="58"/>
      <c r="D21" s="58">
        <f>('TRF-25'!D40+'TRF-25'!E40/2)*0</f>
        <v>0</v>
      </c>
      <c r="E21" s="58">
        <f>('TRF-25'!E40+'TRF-25'!F40)/2*0</f>
        <v>0</v>
      </c>
      <c r="F21" s="58"/>
      <c r="G21" s="58">
        <f>('TRF-25'!F40+'TRF-25'!H40)/2*0</f>
        <v>0</v>
      </c>
      <c r="H21" s="58">
        <f>('TRF-25'!G40+'TRF-25'!J40)/2*0</f>
        <v>0</v>
      </c>
    </row>
    <row r="22" spans="1:8" ht="12.75">
      <c r="A22" s="11"/>
      <c r="B22" s="132" t="s">
        <v>35</v>
      </c>
      <c r="C22" s="58"/>
      <c r="D22" s="58"/>
      <c r="E22" s="58"/>
      <c r="F22" s="58"/>
      <c r="G22" s="11"/>
      <c r="H22" s="11"/>
    </row>
    <row r="23" spans="1:8" ht="12.75">
      <c r="A23" s="11"/>
      <c r="B23" s="132" t="s">
        <v>966</v>
      </c>
      <c r="C23" s="58"/>
      <c r="D23" s="58"/>
      <c r="E23" s="58"/>
      <c r="F23" s="58"/>
      <c r="G23" s="11"/>
      <c r="H23" s="11"/>
    </row>
    <row r="24" spans="1:8" ht="12.75">
      <c r="A24" s="11"/>
      <c r="B24" s="132" t="s">
        <v>36</v>
      </c>
      <c r="C24" s="58"/>
      <c r="D24" s="58">
        <f>('TRF-25'!E41+'TRF-25'!D41/2)*0</f>
        <v>0</v>
      </c>
      <c r="E24" s="58">
        <f>('TRF-25'!F41+'TRF-25'!E41/2)*0</f>
        <v>0</v>
      </c>
      <c r="F24" s="58"/>
      <c r="G24" s="58">
        <f>('TRF-25'!H41+'TRF-25'!F41/2)*0</f>
        <v>0</v>
      </c>
      <c r="H24" s="58">
        <f>('TRF-25'!J41+'TRF-25'!G41/2)*0</f>
        <v>0</v>
      </c>
    </row>
    <row r="25" spans="1:8" ht="19.5" customHeight="1">
      <c r="A25" s="11"/>
      <c r="B25" s="132" t="s">
        <v>37</v>
      </c>
      <c r="C25" s="58"/>
      <c r="D25" s="58"/>
      <c r="E25" s="58"/>
      <c r="F25" s="58"/>
      <c r="G25" s="11"/>
      <c r="H25" s="11"/>
    </row>
    <row r="26" spans="1:8" ht="25.5">
      <c r="A26" s="11"/>
      <c r="B26" s="132" t="s">
        <v>38</v>
      </c>
      <c r="C26" s="58"/>
      <c r="D26" s="58"/>
      <c r="E26" s="58"/>
      <c r="F26" s="58"/>
      <c r="G26" s="11"/>
      <c r="H26" s="11"/>
    </row>
    <row r="27" spans="1:8" ht="12.75">
      <c r="A27" s="11"/>
      <c r="B27" s="132" t="s">
        <v>39</v>
      </c>
      <c r="C27" s="58"/>
      <c r="D27" s="58"/>
      <c r="E27" s="58"/>
      <c r="F27" s="58"/>
      <c r="G27" s="11"/>
      <c r="H27" s="11"/>
    </row>
    <row r="28" spans="1:8" ht="12.75">
      <c r="A28" s="11"/>
      <c r="B28" s="132"/>
      <c r="C28" s="58"/>
      <c r="D28" s="58"/>
      <c r="E28" s="58"/>
      <c r="F28" s="58"/>
      <c r="G28" s="11"/>
      <c r="H28" s="11"/>
    </row>
    <row r="29" spans="1:8" ht="12.75">
      <c r="A29" s="13" t="s">
        <v>40</v>
      </c>
      <c r="B29" s="132"/>
      <c r="C29" s="43">
        <f>SUM(C12:C24)</f>
        <v>0</v>
      </c>
      <c r="D29" s="43">
        <f>SUM(D12:D24)</f>
        <v>0</v>
      </c>
      <c r="E29" s="43">
        <f>SUM(E12:E24)</f>
        <v>0</v>
      </c>
      <c r="F29" s="43"/>
      <c r="G29" s="11"/>
      <c r="H29" s="11"/>
    </row>
    <row r="30" spans="1:8" ht="12.75">
      <c r="A30" s="189" t="s">
        <v>41</v>
      </c>
      <c r="B30" s="132"/>
      <c r="C30" s="58"/>
      <c r="D30" s="58"/>
      <c r="E30" s="58"/>
      <c r="F30" s="58"/>
      <c r="G30" s="11"/>
      <c r="H30" s="11"/>
    </row>
    <row r="31" spans="1:8" ht="12.75">
      <c r="A31" s="13" t="s">
        <v>604</v>
      </c>
      <c r="B31" s="132"/>
      <c r="C31" s="58"/>
      <c r="D31" s="58"/>
      <c r="E31" s="58"/>
      <c r="F31" s="58"/>
      <c r="G31" s="11"/>
      <c r="H31" s="11"/>
    </row>
    <row r="32" spans="1:8" ht="25.5">
      <c r="A32" s="11" t="s">
        <v>654</v>
      </c>
      <c r="B32" s="132" t="s">
        <v>1036</v>
      </c>
      <c r="C32" s="58"/>
      <c r="D32" s="58">
        <f>'TRF-25'!E31*0</f>
        <v>0</v>
      </c>
      <c r="E32" s="58">
        <f>'TRF-25'!F31*0</f>
        <v>0</v>
      </c>
      <c r="F32" s="58"/>
      <c r="G32" s="11"/>
      <c r="H32" s="11"/>
    </row>
    <row r="33" spans="1:8" ht="12.75">
      <c r="A33" s="11"/>
      <c r="B33" s="132" t="s">
        <v>42</v>
      </c>
      <c r="C33" s="58"/>
      <c r="D33" s="58"/>
      <c r="E33" s="58"/>
      <c r="F33" s="58"/>
      <c r="G33" s="11"/>
      <c r="H33" s="11"/>
    </row>
    <row r="34" spans="1:8" ht="12.75">
      <c r="A34" s="11" t="s">
        <v>655</v>
      </c>
      <c r="B34" s="132" t="s">
        <v>43</v>
      </c>
      <c r="C34" s="58"/>
      <c r="D34" s="58">
        <f>'TRF-25'!E17*0</f>
        <v>0</v>
      </c>
      <c r="E34" s="58">
        <f>'TRF-25'!F17*0</f>
        <v>0</v>
      </c>
      <c r="F34" s="58"/>
      <c r="G34" s="11"/>
      <c r="H34" s="11"/>
    </row>
    <row r="35" spans="1:8" ht="25.5">
      <c r="A35" s="190" t="s">
        <v>44</v>
      </c>
      <c r="B35" s="132" t="s">
        <v>735</v>
      </c>
      <c r="C35" s="58"/>
      <c r="D35" s="58"/>
      <c r="E35" s="58"/>
      <c r="F35" s="58"/>
      <c r="G35" s="11"/>
      <c r="H35" s="11"/>
    </row>
    <row r="36" spans="1:8" ht="12.75">
      <c r="A36" s="11" t="s">
        <v>736</v>
      </c>
      <c r="B36" s="132" t="s">
        <v>738</v>
      </c>
      <c r="C36" s="58"/>
      <c r="D36" s="58"/>
      <c r="E36" s="58"/>
      <c r="F36" s="58"/>
      <c r="G36" s="11"/>
      <c r="H36" s="11"/>
    </row>
    <row r="37" spans="1:8" ht="12.75">
      <c r="A37" s="190" t="s">
        <v>656</v>
      </c>
      <c r="B37" s="132" t="s">
        <v>967</v>
      </c>
      <c r="C37" s="58"/>
      <c r="D37" s="58"/>
      <c r="E37" s="58"/>
      <c r="F37" s="58"/>
      <c r="G37" s="11"/>
      <c r="H37" s="11"/>
    </row>
    <row r="38" spans="1:8" ht="38.25">
      <c r="A38" s="190" t="s">
        <v>657</v>
      </c>
      <c r="B38" s="132" t="s">
        <v>739</v>
      </c>
      <c r="C38" s="58"/>
      <c r="D38" s="58"/>
      <c r="E38" s="58"/>
      <c r="F38" s="58"/>
      <c r="G38" s="11"/>
      <c r="H38" s="11"/>
    </row>
    <row r="39" spans="1:8" ht="25.5">
      <c r="A39" s="190" t="s">
        <v>658</v>
      </c>
      <c r="B39" s="132" t="s">
        <v>740</v>
      </c>
      <c r="C39" s="58"/>
      <c r="D39" s="58"/>
      <c r="E39" s="58"/>
      <c r="F39" s="58"/>
      <c r="G39" s="11"/>
      <c r="H39" s="11"/>
    </row>
    <row r="40" spans="1:8" ht="38.25">
      <c r="A40" s="190" t="s">
        <v>659</v>
      </c>
      <c r="B40" s="132" t="s">
        <v>350</v>
      </c>
      <c r="C40" s="58"/>
      <c r="D40" s="58"/>
      <c r="E40" s="58"/>
      <c r="F40" s="58"/>
      <c r="G40" s="11"/>
      <c r="H40" s="11"/>
    </row>
    <row r="41" spans="1:8" ht="12.75">
      <c r="A41" s="11"/>
      <c r="B41" s="132"/>
      <c r="C41" s="58"/>
      <c r="D41" s="58"/>
      <c r="E41" s="58"/>
      <c r="F41" s="58"/>
      <c r="G41" s="11"/>
      <c r="H41" s="11"/>
    </row>
    <row r="42" spans="1:8" ht="12.75">
      <c r="A42" s="13" t="s">
        <v>741</v>
      </c>
      <c r="B42" s="132"/>
      <c r="C42" s="43">
        <f>SUM(C32:C40)</f>
        <v>0</v>
      </c>
      <c r="D42" s="43">
        <f>SUM(D32:D40)</f>
        <v>0</v>
      </c>
      <c r="E42" s="43">
        <f>SUM(E32:E40)</f>
        <v>0</v>
      </c>
      <c r="F42" s="43"/>
      <c r="G42" s="11"/>
      <c r="H42" s="11"/>
    </row>
    <row r="43" spans="1:8" ht="12.75">
      <c r="A43" s="11"/>
      <c r="B43" s="132" t="s">
        <v>742</v>
      </c>
      <c r="C43" s="43">
        <f>C29-C42</f>
        <v>0</v>
      </c>
      <c r="D43" s="43">
        <f>D29-D42</f>
        <v>0</v>
      </c>
      <c r="E43" s="43">
        <f>E29-E42</f>
        <v>0</v>
      </c>
      <c r="F43" s="43"/>
      <c r="G43" s="11"/>
      <c r="H43" s="11"/>
    </row>
    <row r="44" spans="1:8" ht="12.75">
      <c r="A44" s="155"/>
      <c r="B44" s="132"/>
      <c r="C44" s="58"/>
      <c r="D44" s="58"/>
      <c r="E44" s="58"/>
      <c r="F44" s="58"/>
      <c r="G44" s="11"/>
      <c r="H44" s="11"/>
    </row>
    <row r="45" spans="1:8" ht="12.75">
      <c r="A45" s="11"/>
      <c r="B45" s="132" t="s">
        <v>1031</v>
      </c>
      <c r="C45" s="58"/>
      <c r="D45" s="58"/>
      <c r="E45" s="58"/>
      <c r="F45" s="58"/>
      <c r="G45" s="11"/>
      <c r="H45" s="11"/>
    </row>
    <row r="46" spans="1:8" ht="25.5">
      <c r="A46" s="155" t="s">
        <v>353</v>
      </c>
      <c r="B46" s="132" t="s">
        <v>1033</v>
      </c>
      <c r="C46" s="43">
        <f aca="true" t="shared" si="0" ref="C46:E48">C57</f>
        <v>0</v>
      </c>
      <c r="D46" s="43">
        <f t="shared" si="0"/>
        <v>0</v>
      </c>
      <c r="E46" s="43">
        <f t="shared" si="0"/>
        <v>0</v>
      </c>
      <c r="F46" s="43"/>
      <c r="G46" s="11"/>
      <c r="H46" s="11"/>
    </row>
    <row r="47" spans="1:8" ht="12.75">
      <c r="A47" s="155" t="s">
        <v>354</v>
      </c>
      <c r="B47" s="132" t="s">
        <v>537</v>
      </c>
      <c r="C47" s="43">
        <f t="shared" si="0"/>
        <v>0</v>
      </c>
      <c r="D47" s="43">
        <f t="shared" si="0"/>
        <v>0</v>
      </c>
      <c r="E47" s="43">
        <f t="shared" si="0"/>
        <v>0</v>
      </c>
      <c r="F47" s="43"/>
      <c r="G47" s="11"/>
      <c r="H47" s="11"/>
    </row>
    <row r="48" spans="1:8" ht="12.75">
      <c r="A48" s="155" t="s">
        <v>1032</v>
      </c>
      <c r="B48" s="132" t="s">
        <v>1003</v>
      </c>
      <c r="C48" s="43">
        <f t="shared" si="0"/>
        <v>0</v>
      </c>
      <c r="D48" s="43">
        <f t="shared" si="0"/>
        <v>0</v>
      </c>
      <c r="E48" s="43">
        <f t="shared" si="0"/>
        <v>0</v>
      </c>
      <c r="F48" s="43"/>
      <c r="G48" s="11"/>
      <c r="H48" s="11"/>
    </row>
    <row r="49" spans="1:8" ht="12.75">
      <c r="A49" s="11"/>
      <c r="B49" s="132" t="s">
        <v>1034</v>
      </c>
      <c r="C49" s="43">
        <f>SUM(C46:C48)</f>
        <v>0</v>
      </c>
      <c r="D49" s="43">
        <f>SUM(D46:D48)</f>
        <v>0</v>
      </c>
      <c r="E49" s="43">
        <f>SUM(E46:E48)</f>
        <v>0</v>
      </c>
      <c r="F49" s="43"/>
      <c r="G49" s="11"/>
      <c r="H49" s="11"/>
    </row>
    <row r="50" spans="1:8" ht="12.75">
      <c r="A50" s="11"/>
      <c r="B50" s="132"/>
      <c r="C50" s="58"/>
      <c r="D50" s="58"/>
      <c r="E50" s="58"/>
      <c r="F50" s="58"/>
      <c r="G50" s="11"/>
      <c r="H50" s="11"/>
    </row>
    <row r="51" spans="1:8" ht="12.75">
      <c r="A51" s="11"/>
      <c r="B51" s="132"/>
      <c r="C51" s="58"/>
      <c r="D51" s="58"/>
      <c r="E51" s="191"/>
      <c r="F51" s="191"/>
      <c r="G51" s="11"/>
      <c r="H51" s="11"/>
    </row>
    <row r="52" spans="1:8" ht="12.75">
      <c r="A52" s="152" t="s">
        <v>443</v>
      </c>
      <c r="B52" s="132" t="s">
        <v>1094</v>
      </c>
      <c r="C52" s="58"/>
      <c r="D52" s="58"/>
      <c r="E52" s="58"/>
      <c r="F52" s="58"/>
      <c r="G52" s="11"/>
      <c r="H52" s="11"/>
    </row>
    <row r="53" spans="1:8" ht="12.75">
      <c r="A53" s="11"/>
      <c r="B53" s="132"/>
      <c r="C53" s="58"/>
      <c r="D53" s="58"/>
      <c r="E53" s="58"/>
      <c r="F53" s="58"/>
      <c r="G53" s="11"/>
      <c r="H53" s="11"/>
    </row>
    <row r="54" spans="1:8" ht="25.5">
      <c r="A54" s="192">
        <v>1</v>
      </c>
      <c r="B54" s="132" t="s">
        <v>1095</v>
      </c>
      <c r="C54" s="58">
        <f>333.9*0</f>
        <v>0</v>
      </c>
      <c r="D54" s="58">
        <f>333.9*0</f>
        <v>0</v>
      </c>
      <c r="E54" s="58"/>
      <c r="F54" s="58"/>
      <c r="G54" s="11"/>
      <c r="H54" s="11"/>
    </row>
    <row r="55" spans="1:8" ht="12.75">
      <c r="A55" s="131">
        <v>2</v>
      </c>
      <c r="B55" s="132" t="s">
        <v>665</v>
      </c>
      <c r="C55" s="58">
        <f>C43</f>
        <v>0</v>
      </c>
      <c r="D55" s="58">
        <f>D43</f>
        <v>0</v>
      </c>
      <c r="E55" s="58">
        <f>E43</f>
        <v>0</v>
      </c>
      <c r="F55" s="58"/>
      <c r="G55" s="11"/>
      <c r="H55" s="11"/>
    </row>
    <row r="56" spans="1:8" ht="25.5">
      <c r="A56" s="131">
        <v>3</v>
      </c>
      <c r="B56" s="132" t="s">
        <v>1085</v>
      </c>
      <c r="C56" s="58">
        <f>C55-C54</f>
        <v>0</v>
      </c>
      <c r="D56" s="58">
        <f>D55-D54</f>
        <v>0</v>
      </c>
      <c r="E56" s="58">
        <f>E55-E54</f>
        <v>0</v>
      </c>
      <c r="F56" s="58"/>
      <c r="G56" s="11"/>
      <c r="H56" s="11"/>
    </row>
    <row r="57" spans="1:8" ht="12.75">
      <c r="A57" s="131">
        <v>4</v>
      </c>
      <c r="B57" s="132" t="s">
        <v>1096</v>
      </c>
      <c r="C57" s="58">
        <f>IF(C56&lt;0,0,C54*0.13)</f>
        <v>0</v>
      </c>
      <c r="D57" s="58">
        <f>IF(D56&lt;0,0,D54*0.13)</f>
        <v>0</v>
      </c>
      <c r="E57" s="58">
        <f>IF(E56&lt;0,0,E54*0.13)</f>
        <v>0</v>
      </c>
      <c r="F57" s="58"/>
      <c r="G57" s="11"/>
      <c r="H57" s="11"/>
    </row>
    <row r="58" spans="1:8" ht="12.75">
      <c r="A58" s="131">
        <v>5</v>
      </c>
      <c r="B58" s="132" t="s">
        <v>952</v>
      </c>
      <c r="C58" s="58">
        <f>IF(C55&lt;0,0,C56*0.14)</f>
        <v>0</v>
      </c>
      <c r="D58" s="58">
        <f>IF(D55&lt;0,0,D56*0.14)</f>
        <v>0</v>
      </c>
      <c r="E58" s="58">
        <f>IF(E55&lt;0,0,E56*0.14)</f>
        <v>0</v>
      </c>
      <c r="F58" s="58"/>
      <c r="G58" s="72"/>
      <c r="H58" s="72"/>
    </row>
    <row r="59" spans="1:8" ht="12.75">
      <c r="A59" s="131">
        <v>6</v>
      </c>
      <c r="B59" s="132" t="s">
        <v>1097</v>
      </c>
      <c r="C59" s="58">
        <f>C34*0.5%</f>
        <v>0</v>
      </c>
      <c r="D59" s="58">
        <f>D34*0.5%</f>
        <v>0</v>
      </c>
      <c r="E59" s="58">
        <f>E34*0.5%</f>
        <v>0</v>
      </c>
      <c r="F59" s="58"/>
      <c r="G59" s="11"/>
      <c r="H59" s="11"/>
    </row>
    <row r="60" spans="1:8" ht="12.75">
      <c r="A60" s="10">
        <v>7</v>
      </c>
      <c r="B60" s="132" t="s">
        <v>1098</v>
      </c>
      <c r="C60" s="43">
        <f>C57+C58+C59</f>
        <v>0</v>
      </c>
      <c r="D60" s="43">
        <f>D57+D58+D59</f>
        <v>0</v>
      </c>
      <c r="E60" s="43">
        <f>E57+E58+E59</f>
        <v>0</v>
      </c>
      <c r="F60" s="43"/>
      <c r="G60" s="11"/>
      <c r="H60" s="11"/>
    </row>
    <row r="61" ht="12.75">
      <c r="B61" s="193"/>
    </row>
    <row r="62" ht="12.75">
      <c r="B62" s="194" t="s">
        <v>622</v>
      </c>
    </row>
  </sheetData>
  <sheetProtection/>
  <printOptions horizontalCentered="1"/>
  <pageMargins left="0.75" right="0.75" top="0.44" bottom="0.43" header="0.23" footer="0.21"/>
  <pageSetup horizontalDpi="600" verticalDpi="600" orientation="portrait" paperSize="9" scale="80" r:id="rId1"/>
  <headerFooter alignWithMargins="0">
    <oddHeader>&amp;RTRF-7</oddHeader>
    <oddFooter>&amp;L&amp;F-&amp;A&amp;CPage-&amp;P of &amp;P&amp;R&amp;D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24"/>
  <sheetViews>
    <sheetView zoomScalePageLayoutView="0" workbookViewId="0" topLeftCell="A1">
      <selection activeCell="A4" sqref="A4"/>
    </sheetView>
  </sheetViews>
  <sheetFormatPr defaultColWidth="14.7109375" defaultRowHeight="12.75"/>
  <cols>
    <col min="1" max="1" width="6.00390625" style="134" customWidth="1"/>
    <col min="2" max="2" width="56.8515625" style="134" customWidth="1"/>
    <col min="3" max="3" width="8.57421875" style="134" customWidth="1"/>
    <col min="4" max="4" width="11.7109375" style="134" customWidth="1"/>
    <col min="5" max="5" width="12.00390625" style="134" bestFit="1" customWidth="1"/>
    <col min="6" max="16384" width="14.7109375" style="134" customWidth="1"/>
  </cols>
  <sheetData>
    <row r="3" ht="12.75">
      <c r="A3" s="133" t="s">
        <v>1398</v>
      </c>
    </row>
    <row r="4" ht="12.75">
      <c r="A4" s="133"/>
    </row>
    <row r="5" spans="1:4" s="137" customFormat="1" ht="12.75">
      <c r="A5" s="134"/>
      <c r="B5" s="135" t="s">
        <v>1350</v>
      </c>
      <c r="C5" s="134"/>
      <c r="D5" s="136" t="s">
        <v>808</v>
      </c>
    </row>
    <row r="6" spans="2:4" s="137" customFormat="1" ht="12.75">
      <c r="B6" s="135" t="s">
        <v>1351</v>
      </c>
      <c r="C6" s="134"/>
      <c r="D6" s="136"/>
    </row>
    <row r="7" spans="1:2" ht="12.75">
      <c r="A7" s="137"/>
      <c r="B7" s="135" t="s">
        <v>1352</v>
      </c>
    </row>
    <row r="8" ht="12.75">
      <c r="B8" s="138"/>
    </row>
    <row r="9" ht="25.5">
      <c r="B9" s="139" t="s">
        <v>1182</v>
      </c>
    </row>
    <row r="10" spans="1:2" ht="12.75">
      <c r="A10" s="133"/>
      <c r="B10" s="133"/>
    </row>
    <row r="12" spans="1:5" ht="12.75">
      <c r="A12" s="140" t="s">
        <v>1287</v>
      </c>
      <c r="B12" s="140" t="s">
        <v>1183</v>
      </c>
      <c r="C12" s="141"/>
      <c r="D12" s="140" t="s">
        <v>743</v>
      </c>
      <c r="E12" s="140" t="s">
        <v>744</v>
      </c>
    </row>
    <row r="13" spans="1:5" ht="12.75">
      <c r="A13" s="141"/>
      <c r="B13" s="141"/>
      <c r="C13" s="141"/>
      <c r="D13" s="140"/>
      <c r="E13" s="141"/>
    </row>
    <row r="14" spans="1:5" ht="12.75">
      <c r="A14" s="141">
        <v>1</v>
      </c>
      <c r="B14" s="141" t="s">
        <v>351</v>
      </c>
      <c r="C14" s="141"/>
      <c r="D14" s="141"/>
      <c r="E14" s="141"/>
    </row>
    <row r="15" spans="1:5" ht="12.75">
      <c r="A15" s="141"/>
      <c r="B15" s="141"/>
      <c r="C15" s="141"/>
      <c r="D15" s="141"/>
      <c r="E15" s="141"/>
    </row>
    <row r="16" spans="1:5" ht="12.75">
      <c r="A16" s="141">
        <v>2</v>
      </c>
      <c r="B16" s="141" t="s">
        <v>939</v>
      </c>
      <c r="C16" s="141"/>
      <c r="D16" s="141"/>
      <c r="E16" s="141"/>
    </row>
    <row r="17" spans="1:5" ht="12.75">
      <c r="A17" s="141"/>
      <c r="B17" s="141"/>
      <c r="C17" s="141"/>
      <c r="D17" s="141"/>
      <c r="E17" s="141"/>
    </row>
    <row r="18" spans="1:5" ht="12.75">
      <c r="A18" s="141">
        <v>3</v>
      </c>
      <c r="B18" s="141" t="s">
        <v>940</v>
      </c>
      <c r="C18" s="141"/>
      <c r="D18" s="141"/>
      <c r="E18" s="141"/>
    </row>
    <row r="19" spans="1:5" ht="12.75">
      <c r="A19" s="141"/>
      <c r="B19" s="141"/>
      <c r="C19" s="141"/>
      <c r="D19" s="141"/>
      <c r="E19" s="141"/>
    </row>
    <row r="20" spans="1:5" ht="12.75">
      <c r="A20" s="141">
        <v>4</v>
      </c>
      <c r="B20" s="141" t="s">
        <v>352</v>
      </c>
      <c r="C20" s="141"/>
      <c r="D20" s="141"/>
      <c r="E20" s="141"/>
    </row>
    <row r="21" spans="1:5" ht="12.75">
      <c r="A21" s="141"/>
      <c r="B21" s="141"/>
      <c r="C21" s="141"/>
      <c r="D21" s="141"/>
      <c r="E21" s="141"/>
    </row>
    <row r="22" spans="1:5" ht="12.75">
      <c r="A22" s="142" t="s">
        <v>1289</v>
      </c>
      <c r="B22" s="143" t="s">
        <v>1184</v>
      </c>
      <c r="C22" s="141"/>
      <c r="D22" s="141"/>
      <c r="E22" s="141"/>
    </row>
    <row r="23" spans="1:5" ht="12.75">
      <c r="A23" s="144"/>
      <c r="B23" s="145"/>
      <c r="C23" s="146"/>
      <c r="D23" s="146"/>
      <c r="E23" s="146"/>
    </row>
    <row r="24" ht="12.75">
      <c r="B24" s="147" t="s">
        <v>622</v>
      </c>
    </row>
  </sheetData>
  <sheetProtection/>
  <printOptions/>
  <pageMargins left="0.44" right="0.37" top="1.51" bottom="1" header="0.85" footer="0.5"/>
  <pageSetup fitToHeight="1" fitToWidth="1" horizontalDpi="600" verticalDpi="600" orientation="portrait" paperSize="9" r:id="rId1"/>
  <headerFooter alignWithMargins="0">
    <oddFooter>&amp;L&amp;F-&amp;A&amp;CPage-&amp;P of &amp;P&amp;R&amp;D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A1" sqref="A1"/>
    </sheetView>
  </sheetViews>
  <sheetFormatPr defaultColWidth="14.7109375" defaultRowHeight="12.75"/>
  <cols>
    <col min="1" max="1" width="5.57421875" style="134" customWidth="1"/>
    <col min="2" max="2" width="51.7109375" style="134" customWidth="1"/>
    <col min="3" max="3" width="15.7109375" style="134" hidden="1" customWidth="1"/>
    <col min="4" max="5" width="14.421875" style="134" hidden="1" customWidth="1"/>
    <col min="6" max="6" width="11.57421875" style="134" hidden="1" customWidth="1"/>
    <col min="7" max="7" width="11.7109375" style="134" hidden="1" customWidth="1"/>
    <col min="8" max="8" width="10.7109375" style="134" hidden="1" customWidth="1"/>
    <col min="9" max="9" width="12.00390625" style="134" customWidth="1"/>
    <col min="10" max="11" width="11.7109375" style="134" customWidth="1"/>
    <col min="12" max="13" width="9.140625" style="134" customWidth="1"/>
    <col min="14" max="14" width="7.8515625" style="134" customWidth="1"/>
    <col min="15" max="16384" width="14.7109375" style="134" customWidth="1"/>
  </cols>
  <sheetData>
    <row r="1" s="195" customFormat="1" ht="12.75">
      <c r="A1" s="130" t="s">
        <v>154</v>
      </c>
    </row>
    <row r="2" ht="12.75"/>
    <row r="3" spans="2:10" s="195" customFormat="1" ht="12.75">
      <c r="B3" s="435" t="s">
        <v>1350</v>
      </c>
      <c r="E3" s="204"/>
      <c r="J3" s="204" t="s">
        <v>806</v>
      </c>
    </row>
    <row r="4" s="195" customFormat="1" ht="12.75">
      <c r="B4" s="435" t="s">
        <v>1351</v>
      </c>
    </row>
    <row r="5" spans="1:2" s="195" customFormat="1" ht="12.75">
      <c r="A5" s="521"/>
      <c r="B5" s="435" t="s">
        <v>1394</v>
      </c>
    </row>
    <row r="6" spans="1:10" s="195" customFormat="1" ht="12.75">
      <c r="A6" s="521"/>
      <c r="B6" s="522"/>
      <c r="C6" s="522"/>
      <c r="D6" s="522"/>
      <c r="E6" s="522"/>
      <c r="F6" s="522"/>
      <c r="G6" s="522"/>
      <c r="H6" s="522"/>
      <c r="I6" s="523"/>
      <c r="J6" s="523" t="s">
        <v>1222</v>
      </c>
    </row>
    <row r="7" spans="1:11" s="195" customFormat="1" ht="12.75">
      <c r="A7" s="524" t="s">
        <v>767</v>
      </c>
      <c r="B7" s="522"/>
      <c r="C7" s="522"/>
      <c r="D7" s="522"/>
      <c r="E7" s="522"/>
      <c r="F7" s="522"/>
      <c r="G7" s="522"/>
      <c r="H7" s="522"/>
      <c r="I7" s="523"/>
      <c r="J7" s="523"/>
      <c r="K7" s="523"/>
    </row>
    <row r="8" spans="1:4" s="526" customFormat="1" ht="12.75">
      <c r="A8" s="195"/>
      <c r="B8" s="195"/>
      <c r="C8" s="195"/>
      <c r="D8" s="525"/>
    </row>
    <row r="9" spans="1:11" s="195" customFormat="1" ht="25.5">
      <c r="A9" s="527" t="s">
        <v>239</v>
      </c>
      <c r="B9" s="528" t="s">
        <v>1104</v>
      </c>
      <c r="C9" s="150" t="s">
        <v>1181</v>
      </c>
      <c r="D9" s="150" t="s">
        <v>177</v>
      </c>
      <c r="E9" s="150" t="s">
        <v>433</v>
      </c>
      <c r="F9" s="150" t="s">
        <v>975</v>
      </c>
      <c r="G9" s="150" t="s">
        <v>981</v>
      </c>
      <c r="H9" s="150" t="s">
        <v>1396</v>
      </c>
      <c r="I9" s="150" t="s">
        <v>1393</v>
      </c>
      <c r="J9" s="150" t="s">
        <v>1313</v>
      </c>
      <c r="K9" s="150" t="s">
        <v>1395</v>
      </c>
    </row>
    <row r="10" spans="1:11" s="195" customFormat="1" ht="12.75">
      <c r="A10" s="196"/>
      <c r="B10" s="197"/>
      <c r="C10" s="225"/>
      <c r="D10" s="225"/>
      <c r="E10" s="225"/>
      <c r="F10" s="198"/>
      <c r="G10" s="198"/>
      <c r="H10" s="198"/>
      <c r="I10" s="198"/>
      <c r="J10" s="198"/>
      <c r="K10" s="198"/>
    </row>
    <row r="11" spans="1:11" s="195" customFormat="1" ht="25.5">
      <c r="A11" s="197">
        <v>1</v>
      </c>
      <c r="B11" s="199" t="s">
        <v>541</v>
      </c>
      <c r="C11" s="71">
        <v>0</v>
      </c>
      <c r="D11" s="43">
        <v>189.85</v>
      </c>
      <c r="E11" s="71">
        <v>79.81</v>
      </c>
      <c r="F11" s="71">
        <f aca="true" t="shared" si="0" ref="F11:K11">E19</f>
        <v>105.23880999999997</v>
      </c>
      <c r="G11" s="71">
        <f t="shared" si="0"/>
        <v>105.50167999999982</v>
      </c>
      <c r="H11" s="71">
        <f t="shared" si="0"/>
        <v>139.0947100119998</v>
      </c>
      <c r="I11" s="71">
        <v>155.87</v>
      </c>
      <c r="J11" s="71">
        <f t="shared" si="0"/>
        <v>185.81200914999982</v>
      </c>
      <c r="K11" s="71">
        <f t="shared" si="0"/>
        <v>188.56411899999992</v>
      </c>
    </row>
    <row r="12" spans="1:11" s="195" customFormat="1" ht="12.75">
      <c r="A12" s="197"/>
      <c r="B12" s="199"/>
      <c r="C12" s="71"/>
      <c r="D12" s="71"/>
      <c r="E12" s="71"/>
      <c r="F12" s="198"/>
      <c r="G12" s="198"/>
      <c r="H12" s="198"/>
      <c r="I12" s="198"/>
      <c r="J12" s="198"/>
      <c r="K12" s="198"/>
    </row>
    <row r="13" spans="1:11" s="195" customFormat="1" ht="12.75">
      <c r="A13" s="197">
        <v>2</v>
      </c>
      <c r="B13" s="199" t="s">
        <v>771</v>
      </c>
      <c r="C13" s="71">
        <f>'TRF-6'!D26-'TRF-6'!D25</f>
        <v>362.071319725</v>
      </c>
      <c r="D13" s="43">
        <f>'TRF-6'!E26</f>
        <v>372.21078480750003</v>
      </c>
      <c r="E13" s="71">
        <f>'TRF-6'!F26</f>
        <v>427.96281</v>
      </c>
      <c r="F13" s="71">
        <f>'TRF-6'!G26-36.84</f>
        <v>413.1428699999999</v>
      </c>
      <c r="G13" s="71">
        <f>'TRF-6'!H26</f>
        <v>574.6734099999999</v>
      </c>
      <c r="H13" s="71">
        <f>'TRF-6'!I26</f>
        <v>566.3064049999999</v>
      </c>
      <c r="I13" s="71">
        <f>'TRF-6'!J26-21.44</f>
        <v>570.5420091499998</v>
      </c>
      <c r="J13" s="71">
        <f>'TRF-6'!K26</f>
        <v>603.56732735</v>
      </c>
      <c r="K13" s="71">
        <f>'TRF-6'!L26</f>
        <v>650.425</v>
      </c>
    </row>
    <row r="14" spans="1:11" s="195" customFormat="1" ht="12.75">
      <c r="A14" s="197"/>
      <c r="B14" s="199"/>
      <c r="C14" s="71"/>
      <c r="D14" s="71"/>
      <c r="E14" s="71"/>
      <c r="F14" s="198"/>
      <c r="G14" s="198"/>
      <c r="H14" s="198"/>
      <c r="I14" s="198"/>
      <c r="J14" s="198"/>
      <c r="K14" s="198"/>
    </row>
    <row r="15" spans="1:11" s="195" customFormat="1" ht="12.75">
      <c r="A15" s="197">
        <v>3</v>
      </c>
      <c r="B15" s="199" t="s">
        <v>772</v>
      </c>
      <c r="C15" s="71"/>
      <c r="D15" s="71"/>
      <c r="E15" s="71"/>
      <c r="F15" s="198"/>
      <c r="G15" s="198"/>
      <c r="H15" s="198"/>
      <c r="I15" s="198"/>
      <c r="J15" s="198"/>
      <c r="K15" s="198"/>
    </row>
    <row r="16" spans="1:11" s="195" customFormat="1" ht="12.75">
      <c r="A16" s="197"/>
      <c r="B16" s="201" t="s">
        <v>455</v>
      </c>
      <c r="C16" s="71">
        <v>172.22</v>
      </c>
      <c r="D16" s="71">
        <f>316.7+21.86</f>
        <v>338.56</v>
      </c>
      <c r="E16" s="71">
        <f>384.35-13.74</f>
        <v>370.61</v>
      </c>
      <c r="F16" s="71">
        <f>361.67+15.31</f>
        <v>376.98</v>
      </c>
      <c r="G16" s="71">
        <f>G13*0.8868</f>
        <v>509.6203799879999</v>
      </c>
      <c r="H16" s="71">
        <f>H13*0.838</f>
        <v>474.56476738999993</v>
      </c>
      <c r="I16" s="58">
        <f>524.79-I17+5.89+8.97+0.95</f>
        <v>460.65</v>
      </c>
      <c r="J16" s="71">
        <f>J13/12*11</f>
        <v>553.2700500708333</v>
      </c>
      <c r="K16" s="71">
        <f>K13/12*11</f>
        <v>596.2229166666666</v>
      </c>
    </row>
    <row r="17" spans="1:11" s="195" customFormat="1" ht="12.75">
      <c r="A17" s="197"/>
      <c r="B17" s="201" t="s">
        <v>454</v>
      </c>
      <c r="C17" s="71"/>
      <c r="D17" s="71">
        <f>D11*60%</f>
        <v>113.91</v>
      </c>
      <c r="E17" s="71">
        <f>E11*40%</f>
        <v>31.924000000000003</v>
      </c>
      <c r="F17" s="71">
        <v>35.9</v>
      </c>
      <c r="G17" s="71">
        <v>31.46</v>
      </c>
      <c r="H17" s="71">
        <f>H11*5%+30-0.63</f>
        <v>36.32473550059999</v>
      </c>
      <c r="I17" s="71">
        <f>79.95</f>
        <v>79.95</v>
      </c>
      <c r="J17" s="71">
        <f>I13/12</f>
        <v>47.545167429166646</v>
      </c>
      <c r="K17" s="71">
        <f>J13/12</f>
        <v>50.29727727916667</v>
      </c>
    </row>
    <row r="18" spans="1:11" s="195" customFormat="1" ht="12.75">
      <c r="A18" s="197"/>
      <c r="B18" s="199"/>
      <c r="C18" s="71"/>
      <c r="D18" s="71"/>
      <c r="E18" s="71"/>
      <c r="F18" s="198"/>
      <c r="G18" s="198"/>
      <c r="H18" s="198"/>
      <c r="I18" s="198"/>
      <c r="J18" s="198"/>
      <c r="K18" s="198"/>
    </row>
    <row r="19" spans="1:12" s="195" customFormat="1" ht="25.5">
      <c r="A19" s="197">
        <v>4</v>
      </c>
      <c r="B19" s="199" t="s">
        <v>542</v>
      </c>
      <c r="C19" s="71">
        <f aca="true" t="shared" si="1" ref="C19:H19">C11+C13-C16-C17</f>
        <v>189.85131972500002</v>
      </c>
      <c r="D19" s="43">
        <f t="shared" si="1"/>
        <v>109.5907848075</v>
      </c>
      <c r="E19" s="71">
        <f t="shared" si="1"/>
        <v>105.23880999999997</v>
      </c>
      <c r="F19" s="71">
        <f t="shared" si="1"/>
        <v>105.50167999999982</v>
      </c>
      <c r="G19" s="71">
        <f t="shared" si="1"/>
        <v>139.0947100119998</v>
      </c>
      <c r="H19" s="71">
        <f t="shared" si="1"/>
        <v>194.51161212139985</v>
      </c>
      <c r="I19" s="71">
        <f>I11+I13-I16-I17</f>
        <v>185.81200914999982</v>
      </c>
      <c r="J19" s="71">
        <f>J11+J13-J16-J17</f>
        <v>188.56411899999992</v>
      </c>
      <c r="K19" s="71">
        <f>K11+K13-K16-K17</f>
        <v>192.46892505416656</v>
      </c>
      <c r="L19" s="200"/>
    </row>
    <row r="20" spans="1:11" s="195" customFormat="1" ht="12.75">
      <c r="A20" s="197"/>
      <c r="B20" s="199"/>
      <c r="C20" s="71"/>
      <c r="D20" s="71"/>
      <c r="E20" s="71"/>
      <c r="F20" s="198"/>
      <c r="G20" s="198"/>
      <c r="H20" s="198"/>
      <c r="I20" s="198"/>
      <c r="J20" s="198"/>
      <c r="K20" s="198"/>
    </row>
    <row r="21" spans="1:11" s="195" customFormat="1" ht="12.75">
      <c r="A21" s="197">
        <v>5</v>
      </c>
      <c r="B21" s="199" t="s">
        <v>262</v>
      </c>
      <c r="C21" s="71"/>
      <c r="D21" s="226">
        <f aca="true" t="shared" si="2" ref="D21:I21">ROUNDUP(365/D13*D19,0)</f>
        <v>108</v>
      </c>
      <c r="E21" s="227">
        <f t="shared" si="2"/>
        <v>90</v>
      </c>
      <c r="F21" s="227">
        <f t="shared" si="2"/>
        <v>94</v>
      </c>
      <c r="G21" s="227">
        <f t="shared" si="2"/>
        <v>89</v>
      </c>
      <c r="H21" s="227">
        <f t="shared" si="2"/>
        <v>126</v>
      </c>
      <c r="I21" s="227">
        <f t="shared" si="2"/>
        <v>119</v>
      </c>
      <c r="J21" s="227">
        <f>ROUNDUP(365/J13*J19,0)</f>
        <v>115</v>
      </c>
      <c r="K21" s="227">
        <f>ROUNDUP(365/K13*K19,0)</f>
        <v>109</v>
      </c>
    </row>
    <row r="22" spans="1:11" s="195" customFormat="1" ht="12.75">
      <c r="A22" s="197"/>
      <c r="B22" s="199"/>
      <c r="C22" s="71"/>
      <c r="D22" s="71"/>
      <c r="E22" s="71"/>
      <c r="F22" s="198"/>
      <c r="G22" s="198"/>
      <c r="H22" s="198"/>
      <c r="I22" s="198"/>
      <c r="J22" s="198"/>
      <c r="K22" s="198"/>
    </row>
    <row r="23" spans="1:14" s="195" customFormat="1" ht="12.75">
      <c r="A23" s="197">
        <v>6</v>
      </c>
      <c r="B23" s="199" t="s">
        <v>263</v>
      </c>
      <c r="C23" s="71">
        <v>26.3</v>
      </c>
      <c r="D23" s="43">
        <f>28</f>
        <v>28</v>
      </c>
      <c r="E23" s="71">
        <v>0.93</v>
      </c>
      <c r="F23" s="71">
        <v>0.11</v>
      </c>
      <c r="G23" s="71">
        <v>33.53</v>
      </c>
      <c r="H23" s="71">
        <v>41.65</v>
      </c>
      <c r="I23" s="71">
        <v>0</v>
      </c>
      <c r="J23" s="71">
        <f>'TRF-15'!J54</f>
        <v>0</v>
      </c>
      <c r="K23" s="71">
        <f>'TRF-15'!K54</f>
        <v>0</v>
      </c>
      <c r="L23" s="200">
        <f>H19-H23</f>
        <v>152.86161212139984</v>
      </c>
      <c r="M23" s="200">
        <f>I19-I23</f>
        <v>185.81200914999982</v>
      </c>
      <c r="N23" s="200">
        <f>J19-J23</f>
        <v>188.56411899999992</v>
      </c>
    </row>
    <row r="24" spans="1:11" s="195" customFormat="1" ht="12.75">
      <c r="A24" s="197"/>
      <c r="B24" s="199"/>
      <c r="C24" s="71"/>
      <c r="D24" s="71"/>
      <c r="E24" s="71"/>
      <c r="F24" s="198"/>
      <c r="G24" s="198"/>
      <c r="H24" s="198"/>
      <c r="I24" s="198"/>
      <c r="J24" s="198"/>
      <c r="K24" s="198"/>
    </row>
    <row r="25" spans="1:11" s="195" customFormat="1" ht="12.75">
      <c r="A25" s="197">
        <v>7</v>
      </c>
      <c r="B25" s="199" t="s">
        <v>257</v>
      </c>
      <c r="C25" s="71"/>
      <c r="D25" s="43">
        <f aca="true" t="shared" si="3" ref="D25:I25">D23/D19*100</f>
        <v>25.549593471004854</v>
      </c>
      <c r="E25" s="71">
        <f t="shared" si="3"/>
        <v>0.883704405247456</v>
      </c>
      <c r="F25" s="71">
        <f t="shared" si="3"/>
        <v>0.10426374252997694</v>
      </c>
      <c r="G25" s="71">
        <f t="shared" si="3"/>
        <v>24.10587720921043</v>
      </c>
      <c r="H25" s="71">
        <f t="shared" si="3"/>
        <v>21.412603363754513</v>
      </c>
      <c r="I25" s="71">
        <f t="shared" si="3"/>
        <v>0</v>
      </c>
      <c r="J25" s="71">
        <f>J23/J19*100</f>
        <v>0</v>
      </c>
      <c r="K25" s="71">
        <f>K23/K19*100</f>
        <v>0</v>
      </c>
    </row>
    <row r="26" spans="1:11" s="195" customFormat="1" ht="12.75">
      <c r="A26" s="198"/>
      <c r="B26" s="199"/>
      <c r="C26" s="71"/>
      <c r="D26" s="71"/>
      <c r="E26" s="71"/>
      <c r="F26" s="198"/>
      <c r="G26" s="198"/>
      <c r="H26" s="198"/>
      <c r="I26" s="198"/>
      <c r="J26" s="198"/>
      <c r="K26" s="198"/>
    </row>
    <row r="27" s="195" customFormat="1" ht="12.75"/>
    <row r="28" spans="1:5" s="195" customFormat="1" ht="12.75">
      <c r="A28" s="202" t="s">
        <v>240</v>
      </c>
      <c r="B28" s="202"/>
      <c r="C28" s="202"/>
      <c r="D28" s="202"/>
      <c r="E28" s="202"/>
    </row>
    <row r="29" spans="1:11" s="195" customFormat="1" ht="25.5">
      <c r="A29" s="196" t="s">
        <v>239</v>
      </c>
      <c r="B29" s="197" t="s">
        <v>1104</v>
      </c>
      <c r="C29" s="150" t="s">
        <v>1181</v>
      </c>
      <c r="D29" s="150" t="s">
        <v>177</v>
      </c>
      <c r="E29" s="150" t="s">
        <v>433</v>
      </c>
      <c r="F29" s="150" t="s">
        <v>975</v>
      </c>
      <c r="G29" s="150" t="s">
        <v>986</v>
      </c>
      <c r="H29" s="150" t="s">
        <v>98</v>
      </c>
      <c r="I29" s="150" t="s">
        <v>1393</v>
      </c>
      <c r="J29" s="150" t="s">
        <v>1313</v>
      </c>
      <c r="K29" s="150" t="s">
        <v>1395</v>
      </c>
    </row>
    <row r="30" spans="1:5" s="195" customFormat="1" ht="12.75">
      <c r="A30" s="198"/>
      <c r="B30" s="198"/>
      <c r="C30" s="71"/>
      <c r="D30" s="71"/>
      <c r="E30" s="71"/>
    </row>
    <row r="31" spans="1:11" s="195" customFormat="1" ht="25.5" customHeight="1">
      <c r="A31" s="197">
        <v>1</v>
      </c>
      <c r="B31" s="199" t="s">
        <v>1089</v>
      </c>
      <c r="C31" s="71">
        <f>'TRF-6'!D21</f>
        <v>13.8770817</v>
      </c>
      <c r="D31" s="43">
        <f>'TRF-6'!E21</f>
        <v>18.084</v>
      </c>
      <c r="E31" s="71">
        <f>'TRF-6'!F21</f>
        <v>16.78578</v>
      </c>
      <c r="F31" s="71">
        <f>'TRF-6'!G21</f>
        <v>7.460669999999999</v>
      </c>
      <c r="G31" s="71">
        <f>'TRF-6'!H21</f>
        <v>4.829594999999999</v>
      </c>
      <c r="H31" s="71">
        <f>'TRF-6'!I21</f>
        <v>7.183244999999999</v>
      </c>
      <c r="I31" s="71"/>
      <c r="J31" s="71"/>
      <c r="K31" s="71"/>
    </row>
    <row r="32" spans="1:5" s="195" customFormat="1" ht="12.75">
      <c r="A32" s="197"/>
      <c r="B32" s="199"/>
      <c r="C32" s="71"/>
      <c r="D32" s="71"/>
      <c r="E32" s="71"/>
    </row>
    <row r="33" spans="1:11" s="195" customFormat="1" ht="12.75">
      <c r="A33" s="197">
        <v>2</v>
      </c>
      <c r="B33" s="199" t="s">
        <v>1088</v>
      </c>
      <c r="C33" s="71">
        <f>'TRF-6'!D22</f>
        <v>7.319999999999993</v>
      </c>
      <c r="D33" s="43">
        <f>'TRF-6'!E22</f>
        <v>4.3597545774999995</v>
      </c>
      <c r="E33" s="71">
        <f>'TRF-6'!F22</f>
        <v>2.40625</v>
      </c>
      <c r="F33" s="71">
        <f>'TRF-6'!G22</f>
        <v>7.32045</v>
      </c>
      <c r="G33" s="71">
        <f>'TRF-6'!H22</f>
        <v>27.193575000000003</v>
      </c>
      <c r="H33" s="71">
        <f>'TRF-6'!I22</f>
        <v>28.83</v>
      </c>
      <c r="I33" s="71">
        <v>0</v>
      </c>
      <c r="J33" s="71">
        <f>'TRF-6'!K22</f>
        <v>0</v>
      </c>
      <c r="K33" s="71">
        <f>'TRF-6'!L22</f>
        <v>0</v>
      </c>
    </row>
    <row r="34" spans="1:5" s="195" customFormat="1" ht="12.75">
      <c r="A34" s="197"/>
      <c r="B34" s="199"/>
      <c r="C34" s="71"/>
      <c r="D34" s="71"/>
      <c r="E34" s="71"/>
    </row>
    <row r="35" spans="1:11" s="195" customFormat="1" ht="12.75">
      <c r="A35" s="197">
        <v>3</v>
      </c>
      <c r="B35" s="199" t="s">
        <v>263</v>
      </c>
      <c r="C35" s="71">
        <f>'TRF-6'!D41</f>
        <v>0</v>
      </c>
      <c r="D35" s="71"/>
      <c r="E35" s="71"/>
      <c r="F35" s="71"/>
      <c r="G35" s="71"/>
      <c r="H35" s="71"/>
      <c r="I35" s="71"/>
      <c r="J35" s="71"/>
      <c r="K35" s="71"/>
    </row>
    <row r="36" spans="1:11" s="195" customFormat="1" ht="12.75">
      <c r="A36" s="197"/>
      <c r="B36" s="199"/>
      <c r="C36" s="71"/>
      <c r="D36" s="71"/>
      <c r="E36" s="71"/>
      <c r="F36" s="71"/>
      <c r="G36" s="71"/>
      <c r="H36" s="71"/>
      <c r="I36" s="71"/>
      <c r="J36" s="71"/>
      <c r="K36" s="71"/>
    </row>
    <row r="37" spans="2:11" s="529" customFormat="1" ht="12.75">
      <c r="B37" s="530" t="s">
        <v>991</v>
      </c>
      <c r="C37" s="530"/>
      <c r="D37" s="530"/>
      <c r="E37" s="530"/>
      <c r="F37" s="530"/>
      <c r="G37" s="530"/>
      <c r="H37" s="530"/>
      <c r="I37" s="531"/>
      <c r="J37" s="531"/>
      <c r="K37" s="531"/>
    </row>
    <row r="38" spans="2:11" s="529" customFormat="1" ht="27" customHeight="1">
      <c r="B38" s="568" t="s">
        <v>1112</v>
      </c>
      <c r="C38" s="568"/>
      <c r="D38" s="568"/>
      <c r="E38" s="568"/>
      <c r="F38" s="568"/>
      <c r="G38" s="568"/>
      <c r="H38" s="568"/>
      <c r="I38" s="568"/>
      <c r="J38" s="568"/>
      <c r="K38" s="568"/>
    </row>
    <row r="39" spans="2:11" ht="12.75">
      <c r="B39" s="567"/>
      <c r="C39" s="567"/>
      <c r="D39" s="567"/>
      <c r="E39" s="567"/>
      <c r="F39" s="567"/>
      <c r="G39" s="567"/>
      <c r="H39" s="503"/>
      <c r="I39" s="503"/>
      <c r="J39" s="503"/>
      <c r="K39" s="503"/>
    </row>
  </sheetData>
  <sheetProtection/>
  <mergeCells count="2">
    <mergeCell ref="B39:G39"/>
    <mergeCell ref="B38:K38"/>
  </mergeCells>
  <printOptions/>
  <pageMargins left="0.45" right="0.2" top="0.58" bottom="1" header="0.47" footer="0.5"/>
  <pageSetup horizontalDpi="600" verticalDpi="600" orientation="portrait" paperSize="9" r:id="rId3"/>
  <headerFooter alignWithMargins="0">
    <oddFooter>&amp;L&amp;F-&amp;A&amp;CPage- &amp;P of &amp;P&amp;R&amp;D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8"/>
  <sheetViews>
    <sheetView zoomScalePageLayoutView="0" workbookViewId="0" topLeftCell="A1">
      <selection activeCell="B3" sqref="B3"/>
    </sheetView>
  </sheetViews>
  <sheetFormatPr defaultColWidth="14.7109375" defaultRowHeight="12.75"/>
  <cols>
    <col min="1" max="1" width="6.00390625" style="62" customWidth="1"/>
    <col min="2" max="2" width="24.28125" style="62" customWidth="1"/>
    <col min="3" max="3" width="10.8515625" style="62" customWidth="1"/>
    <col min="4" max="4" width="11.00390625" style="62" customWidth="1"/>
    <col min="5" max="5" width="11.28125" style="62" customWidth="1"/>
    <col min="6" max="6" width="10.8515625" style="62" customWidth="1"/>
    <col min="7" max="7" width="10.28125" style="62" customWidth="1"/>
    <col min="8" max="8" width="9.7109375" style="62" customWidth="1"/>
    <col min="9" max="9" width="9.28125" style="62" customWidth="1"/>
    <col min="10" max="10" width="9.8515625" style="62" customWidth="1"/>
    <col min="11" max="11" width="9.7109375" style="62" customWidth="1"/>
    <col min="12" max="12" width="10.00390625" style="62" customWidth="1"/>
    <col min="13" max="13" width="10.28125" style="62" customWidth="1"/>
    <col min="14" max="14" width="11.28125" style="62" customWidth="1"/>
    <col min="15" max="16384" width="14.7109375" style="62" customWidth="1"/>
  </cols>
  <sheetData>
    <row r="1" ht="12.75">
      <c r="A1" s="130" t="s">
        <v>154</v>
      </c>
    </row>
    <row r="3" spans="1:14" ht="12.75">
      <c r="A3" s="552">
        <f>'TRF-3'!B11</f>
        <v>0</v>
      </c>
      <c r="L3" s="84"/>
      <c r="N3" s="127"/>
    </row>
    <row r="4" spans="1:14" ht="12.75">
      <c r="A4" s="128" t="s">
        <v>773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569" t="s">
        <v>1185</v>
      </c>
      <c r="N4" s="569"/>
    </row>
    <row r="5" spans="1:14" ht="12.75">
      <c r="A5" s="128"/>
      <c r="B5" s="89" t="s">
        <v>1350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</row>
    <row r="6" spans="1:14" ht="12.75">
      <c r="A6" s="128"/>
      <c r="B6" s="89" t="s">
        <v>1351</v>
      </c>
      <c r="C6" s="129"/>
      <c r="D6" s="103"/>
      <c r="G6" s="129"/>
      <c r="H6" s="129"/>
      <c r="L6" s="129"/>
      <c r="M6" s="129"/>
      <c r="N6" s="129"/>
    </row>
    <row r="7" spans="1:14" ht="12.75">
      <c r="A7" s="128"/>
      <c r="B7" s="89" t="s">
        <v>1352</v>
      </c>
      <c r="C7" s="45">
        <v>1</v>
      </c>
      <c r="D7" s="104" t="s">
        <v>265</v>
      </c>
      <c r="F7" s="129"/>
      <c r="H7" s="129"/>
      <c r="L7" s="129"/>
      <c r="M7" s="129"/>
      <c r="N7" s="129"/>
    </row>
    <row r="8" spans="3:14" ht="12.75">
      <c r="C8" s="45">
        <v>2</v>
      </c>
      <c r="D8" s="104" t="s">
        <v>935</v>
      </c>
      <c r="N8" s="85" t="s">
        <v>768</v>
      </c>
    </row>
    <row r="9" spans="3:4" ht="12.75">
      <c r="C9" s="45">
        <v>3</v>
      </c>
      <c r="D9" s="104" t="s">
        <v>936</v>
      </c>
    </row>
    <row r="10" spans="3:5" ht="12.75">
      <c r="C10" s="45">
        <v>4</v>
      </c>
      <c r="D10" s="104" t="s">
        <v>937</v>
      </c>
      <c r="E10" s="104"/>
    </row>
    <row r="11" spans="1:50" ht="18" customHeight="1">
      <c r="A11" s="10" t="s">
        <v>1283</v>
      </c>
      <c r="B11" s="10" t="s">
        <v>1104</v>
      </c>
      <c r="C11" s="10" t="s">
        <v>774</v>
      </c>
      <c r="D11" s="10" t="s">
        <v>775</v>
      </c>
      <c r="E11" s="10" t="s">
        <v>776</v>
      </c>
      <c r="F11" s="10" t="s">
        <v>777</v>
      </c>
      <c r="G11" s="10" t="s">
        <v>778</v>
      </c>
      <c r="H11" s="10" t="s">
        <v>779</v>
      </c>
      <c r="I11" s="10" t="s">
        <v>780</v>
      </c>
      <c r="J11" s="10" t="s">
        <v>781</v>
      </c>
      <c r="K11" s="10" t="s">
        <v>782</v>
      </c>
      <c r="L11" s="10" t="s">
        <v>783</v>
      </c>
      <c r="M11" s="10" t="s">
        <v>784</v>
      </c>
      <c r="N11" s="10" t="s">
        <v>875</v>
      </c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</row>
    <row r="12" spans="1:50" ht="18" customHeight="1">
      <c r="A12" s="10" t="s">
        <v>1284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</row>
    <row r="13" spans="1:14" ht="18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8" customHeight="1">
      <c r="A14" s="131">
        <v>1</v>
      </c>
      <c r="B14" s="132" t="s">
        <v>904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14" ht="18" customHeight="1">
      <c r="A15" s="131"/>
      <c r="B15" s="132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4" ht="12.75">
      <c r="A16" s="131">
        <v>2</v>
      </c>
      <c r="B16" s="132" t="s">
        <v>905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ht="18" customHeight="1">
      <c r="A17" s="131"/>
      <c r="B17" s="132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18" customHeight="1">
      <c r="A18" s="131">
        <v>3</v>
      </c>
      <c r="B18" s="132" t="s">
        <v>906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4" ht="18" customHeight="1">
      <c r="A19" s="131"/>
      <c r="B19" s="132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ht="18" customHeight="1">
      <c r="A20" s="131">
        <v>4</v>
      </c>
      <c r="B20" s="132" t="s">
        <v>907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18" customHeight="1">
      <c r="A21" s="131"/>
      <c r="B21" s="132" t="s">
        <v>827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ht="18" customHeight="1">
      <c r="A22" s="131"/>
      <c r="B22" s="132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4" ht="18" customHeight="1">
      <c r="A23" s="131">
        <v>5</v>
      </c>
      <c r="B23" s="132" t="s">
        <v>828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4" ht="18" customHeight="1">
      <c r="A24" s="11"/>
      <c r="B24" s="132" t="s">
        <v>829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ht="12.75">
      <c r="B25" s="62" t="s">
        <v>1217</v>
      </c>
    </row>
    <row r="26" ht="12.75">
      <c r="B26" s="62" t="s">
        <v>990</v>
      </c>
    </row>
    <row r="27" ht="12.75">
      <c r="B27" s="62" t="s">
        <v>415</v>
      </c>
    </row>
    <row r="28" ht="12.75">
      <c r="B28" s="62" t="s">
        <v>1218</v>
      </c>
    </row>
  </sheetData>
  <sheetProtection/>
  <mergeCells count="1">
    <mergeCell ref="M4:N4"/>
  </mergeCells>
  <printOptions/>
  <pageMargins left="0.29" right="0.22" top="1" bottom="1" header="0.5" footer="0.5"/>
  <pageSetup fitToHeight="1" fitToWidth="1" horizontalDpi="600" verticalDpi="600" orientation="landscape" paperSize="9" scale="94" r:id="rId1"/>
  <headerFooter alignWithMargins="0">
    <oddFooter>&amp;L&amp;F-&amp;A&amp;CPage-&amp;P of &amp;P&amp;R&amp;D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PageLayoutView="0" workbookViewId="0" topLeftCell="G26">
      <selection activeCell="O38" sqref="O38"/>
    </sheetView>
  </sheetViews>
  <sheetFormatPr defaultColWidth="8.28125" defaultRowHeight="12.75"/>
  <cols>
    <col min="1" max="1" width="8.28125" style="52" customWidth="1"/>
    <col min="2" max="2" width="25.00390625" style="39" customWidth="1"/>
    <col min="3" max="3" width="13.140625" style="39" customWidth="1"/>
    <col min="4" max="7" width="12.421875" style="39" customWidth="1"/>
    <col min="8" max="8" width="12.140625" style="39" customWidth="1"/>
    <col min="9" max="9" width="11.140625" style="39" customWidth="1"/>
    <col min="10" max="10" width="12.421875" style="39" customWidth="1"/>
    <col min="11" max="11" width="12.00390625" style="39" customWidth="1"/>
    <col min="12" max="12" width="11.7109375" style="39" customWidth="1"/>
    <col min="13" max="13" width="12.00390625" style="39" customWidth="1"/>
    <col min="14" max="14" width="11.28125" style="39" customWidth="1"/>
    <col min="15" max="15" width="11.421875" style="39" customWidth="1"/>
    <col min="16" max="16" width="15.28125" style="39" customWidth="1"/>
    <col min="17" max="17" width="11.28125" style="39" customWidth="1"/>
    <col min="18" max="18" width="11.8515625" style="39" customWidth="1"/>
    <col min="19" max="16384" width="8.28125" style="39" customWidth="1"/>
  </cols>
  <sheetData>
    <row r="1" ht="15.75">
      <c r="A1" s="67" t="s">
        <v>1398</v>
      </c>
    </row>
    <row r="2" spans="1:14" ht="15.75">
      <c r="A2" s="570" t="s">
        <v>830</v>
      </c>
      <c r="B2" s="570"/>
      <c r="C2" s="570"/>
      <c r="D2" s="570"/>
      <c r="E2" s="570"/>
      <c r="F2" s="570"/>
      <c r="G2" s="570"/>
      <c r="H2" s="570"/>
      <c r="I2" s="570"/>
      <c r="J2" s="570"/>
      <c r="K2" s="570"/>
      <c r="L2" s="570"/>
      <c r="M2" s="570"/>
      <c r="N2" s="570"/>
    </row>
    <row r="4" spans="2:4" ht="15.75">
      <c r="B4" s="25" t="s">
        <v>1350</v>
      </c>
      <c r="C4" s="3"/>
      <c r="D4" s="48"/>
    </row>
    <row r="5" spans="2:12" ht="15.75">
      <c r="B5" s="25" t="s">
        <v>1351</v>
      </c>
      <c r="C5" s="3"/>
      <c r="D5" s="48"/>
      <c r="L5" s="85" t="s">
        <v>1103</v>
      </c>
    </row>
    <row r="6" spans="2:4" ht="15.75">
      <c r="B6" s="25" t="s">
        <v>1352</v>
      </c>
      <c r="C6" s="3"/>
      <c r="D6" s="48"/>
    </row>
    <row r="8" spans="1:13" ht="18" customHeight="1">
      <c r="A8" s="51" t="s">
        <v>420</v>
      </c>
      <c r="M8" s="40" t="s">
        <v>857</v>
      </c>
    </row>
    <row r="9" spans="1:15" ht="18" customHeight="1">
      <c r="A9" s="53" t="s">
        <v>1166</v>
      </c>
      <c r="B9" s="32" t="s">
        <v>1104</v>
      </c>
      <c r="C9" s="49" t="s">
        <v>774</v>
      </c>
      <c r="D9" s="49" t="s">
        <v>775</v>
      </c>
      <c r="E9" s="49" t="s">
        <v>776</v>
      </c>
      <c r="F9" s="49" t="s">
        <v>777</v>
      </c>
      <c r="G9" s="49" t="s">
        <v>805</v>
      </c>
      <c r="H9" s="49" t="s">
        <v>779</v>
      </c>
      <c r="I9" s="49" t="s">
        <v>780</v>
      </c>
      <c r="J9" s="49" t="s">
        <v>781</v>
      </c>
      <c r="K9" s="49" t="s">
        <v>782</v>
      </c>
      <c r="L9" s="49" t="s">
        <v>783</v>
      </c>
      <c r="M9" s="49" t="s">
        <v>784</v>
      </c>
      <c r="N9" s="49" t="s">
        <v>875</v>
      </c>
      <c r="O9" s="32" t="s">
        <v>1105</v>
      </c>
    </row>
    <row r="10" spans="1:15" ht="18" customHeight="1">
      <c r="A10" s="54">
        <v>1</v>
      </c>
      <c r="B10" s="38" t="s">
        <v>831</v>
      </c>
      <c r="C10" s="38">
        <f>57.94-2.82</f>
        <v>55.12</v>
      </c>
      <c r="D10" s="38">
        <f aca="true" t="shared" si="0" ref="D10:N10">C13</f>
        <v>73.85000000000001</v>
      </c>
      <c r="E10" s="38">
        <f t="shared" si="0"/>
        <v>72.18</v>
      </c>
      <c r="F10" s="38">
        <f t="shared" si="0"/>
        <v>77.6</v>
      </c>
      <c r="G10" s="38">
        <f t="shared" si="0"/>
        <v>47.14999999999999</v>
      </c>
      <c r="H10" s="38">
        <f t="shared" si="0"/>
        <v>47.57999999999999</v>
      </c>
      <c r="I10" s="38">
        <f t="shared" si="0"/>
        <v>40.92</v>
      </c>
      <c r="J10" s="38">
        <f t="shared" si="0"/>
        <v>47.34000000000001</v>
      </c>
      <c r="K10" s="38">
        <f t="shared" si="0"/>
        <v>37.63000000000001</v>
      </c>
      <c r="L10" s="38">
        <f t="shared" si="0"/>
        <v>39.57</v>
      </c>
      <c r="M10" s="38">
        <f t="shared" si="0"/>
        <v>39.68000000000001</v>
      </c>
      <c r="N10" s="38">
        <f t="shared" si="0"/>
        <v>71.96000000000001</v>
      </c>
      <c r="O10" s="38">
        <f>C10</f>
        <v>55.12</v>
      </c>
    </row>
    <row r="11" spans="1:15" ht="18" customHeight="1">
      <c r="A11" s="54">
        <v>2</v>
      </c>
      <c r="B11" s="38" t="s">
        <v>832</v>
      </c>
      <c r="C11" s="38">
        <v>46</v>
      </c>
      <c r="D11" s="38">
        <v>44.84</v>
      </c>
      <c r="E11" s="38">
        <v>47.85</v>
      </c>
      <c r="F11" s="38">
        <v>50.35</v>
      </c>
      <c r="G11" s="38">
        <v>45.56</v>
      </c>
      <c r="H11" s="38">
        <v>48.39</v>
      </c>
      <c r="I11" s="38">
        <v>59.32</v>
      </c>
      <c r="J11" s="38">
        <v>37.18</v>
      </c>
      <c r="K11" s="38">
        <v>48.37</v>
      </c>
      <c r="L11" s="38">
        <v>78.18</v>
      </c>
      <c r="M11" s="38">
        <v>91.18</v>
      </c>
      <c r="N11" s="38">
        <f>49.19</f>
        <v>49.19</v>
      </c>
      <c r="O11" s="38">
        <f>SUM(C11:N11)</f>
        <v>646.4100000000001</v>
      </c>
    </row>
    <row r="12" spans="1:15" ht="18" customHeight="1">
      <c r="A12" s="54">
        <v>3</v>
      </c>
      <c r="B12" s="38" t="s">
        <v>833</v>
      </c>
      <c r="C12" s="38">
        <v>27.27</v>
      </c>
      <c r="D12" s="38">
        <v>46.51</v>
      </c>
      <c r="E12" s="38">
        <v>42.43</v>
      </c>
      <c r="F12" s="38">
        <v>80.8</v>
      </c>
      <c r="G12" s="38">
        <v>45.13</v>
      </c>
      <c r="H12" s="38">
        <v>55.05</v>
      </c>
      <c r="I12" s="38">
        <v>52.9</v>
      </c>
      <c r="J12" s="38">
        <v>46.89</v>
      </c>
      <c r="K12" s="38">
        <v>46.43</v>
      </c>
      <c r="L12" s="38">
        <v>78.07</v>
      </c>
      <c r="M12" s="38">
        <v>58.9</v>
      </c>
      <c r="N12" s="38">
        <f>94.45-0.89</f>
        <v>93.56</v>
      </c>
      <c r="O12" s="38">
        <f>SUM(C12:N12)</f>
        <v>673.94</v>
      </c>
    </row>
    <row r="13" spans="1:15" ht="18" customHeight="1">
      <c r="A13" s="54">
        <v>4</v>
      </c>
      <c r="B13" s="38" t="s">
        <v>834</v>
      </c>
      <c r="C13" s="38">
        <f aca="true" t="shared" si="1" ref="C13:N13">C10+C11-C12</f>
        <v>73.85000000000001</v>
      </c>
      <c r="D13" s="38">
        <f t="shared" si="1"/>
        <v>72.18</v>
      </c>
      <c r="E13" s="38">
        <f t="shared" si="1"/>
        <v>77.6</v>
      </c>
      <c r="F13" s="38">
        <f t="shared" si="1"/>
        <v>47.14999999999999</v>
      </c>
      <c r="G13" s="38">
        <f t="shared" si="1"/>
        <v>47.57999999999999</v>
      </c>
      <c r="H13" s="38">
        <f t="shared" si="1"/>
        <v>40.92</v>
      </c>
      <c r="I13" s="38">
        <f t="shared" si="1"/>
        <v>47.34000000000001</v>
      </c>
      <c r="J13" s="38">
        <f t="shared" si="1"/>
        <v>37.63000000000001</v>
      </c>
      <c r="K13" s="38">
        <f t="shared" si="1"/>
        <v>39.57</v>
      </c>
      <c r="L13" s="38">
        <f t="shared" si="1"/>
        <v>39.68000000000001</v>
      </c>
      <c r="M13" s="38">
        <f t="shared" si="1"/>
        <v>71.96000000000001</v>
      </c>
      <c r="N13" s="38">
        <f t="shared" si="1"/>
        <v>27.590000000000003</v>
      </c>
      <c r="O13" s="38">
        <f>O10+O11-O12</f>
        <v>27.590000000000032</v>
      </c>
    </row>
    <row r="14" spans="1:15" ht="18" customHeight="1">
      <c r="A14" s="454"/>
      <c r="B14" s="455"/>
      <c r="C14" s="455"/>
      <c r="D14" s="455"/>
      <c r="E14" s="455"/>
      <c r="F14" s="455"/>
      <c r="G14" s="455"/>
      <c r="H14" s="455"/>
      <c r="I14" s="455"/>
      <c r="J14" s="455"/>
      <c r="K14" s="455"/>
      <c r="L14" s="455"/>
      <c r="M14" s="456" t="s">
        <v>517</v>
      </c>
      <c r="N14" s="455"/>
      <c r="O14" s="455">
        <v>10.99</v>
      </c>
    </row>
    <row r="15" spans="1:15" ht="18" customHeight="1">
      <c r="A15" s="454"/>
      <c r="B15" s="455"/>
      <c r="C15" s="455"/>
      <c r="D15" s="455"/>
      <c r="E15" s="455"/>
      <c r="F15" s="455"/>
      <c r="G15" s="455"/>
      <c r="H15" s="455"/>
      <c r="I15" s="455"/>
      <c r="J15" s="455"/>
      <c r="K15" s="455"/>
      <c r="L15" s="455"/>
      <c r="M15" s="455" t="s">
        <v>518</v>
      </c>
      <c r="N15" s="455"/>
      <c r="O15" s="455">
        <f>O13+O14</f>
        <v>38.580000000000034</v>
      </c>
    </row>
    <row r="16" spans="1:15" ht="18" customHeight="1">
      <c r="A16" s="55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ht="18" customHeight="1">
      <c r="A17" s="51" t="s">
        <v>421</v>
      </c>
    </row>
    <row r="18" spans="1:15" ht="18" customHeight="1">
      <c r="A18" s="53" t="s">
        <v>1166</v>
      </c>
      <c r="B18" s="32" t="s">
        <v>1104</v>
      </c>
      <c r="C18" s="49" t="s">
        <v>774</v>
      </c>
      <c r="D18" s="49" t="s">
        <v>775</v>
      </c>
      <c r="E18" s="49" t="s">
        <v>776</v>
      </c>
      <c r="F18" s="49" t="s">
        <v>777</v>
      </c>
      <c r="G18" s="49" t="s">
        <v>805</v>
      </c>
      <c r="H18" s="49" t="s">
        <v>779</v>
      </c>
      <c r="I18" s="49" t="s">
        <v>780</v>
      </c>
      <c r="J18" s="49" t="s">
        <v>781</v>
      </c>
      <c r="K18" s="49" t="s">
        <v>782</v>
      </c>
      <c r="L18" s="49" t="s">
        <v>783</v>
      </c>
      <c r="M18" s="49" t="s">
        <v>784</v>
      </c>
      <c r="N18" s="49" t="s">
        <v>875</v>
      </c>
      <c r="O18" s="32" t="s">
        <v>1105</v>
      </c>
    </row>
    <row r="19" spans="1:15" ht="18" customHeight="1">
      <c r="A19" s="54">
        <v>1</v>
      </c>
      <c r="B19" s="38" t="s">
        <v>831</v>
      </c>
      <c r="C19" s="38">
        <f>O13</f>
        <v>27.590000000000032</v>
      </c>
      <c r="D19" s="38">
        <f>C22</f>
        <v>31.680000000000028</v>
      </c>
      <c r="E19" s="38">
        <f>D22</f>
        <v>28.25000000000003</v>
      </c>
      <c r="F19" s="35">
        <f>E22</f>
        <v>27.81000000000003</v>
      </c>
      <c r="G19" s="38">
        <f>F22</f>
        <v>29.26000000000004</v>
      </c>
      <c r="H19" s="38">
        <f>G22</f>
        <v>31.53000000000003</v>
      </c>
      <c r="I19" s="38"/>
      <c r="J19" s="38"/>
      <c r="K19" s="38"/>
      <c r="L19" s="38"/>
      <c r="M19" s="38"/>
      <c r="N19" s="38"/>
      <c r="O19" s="38">
        <f>C19</f>
        <v>27.590000000000032</v>
      </c>
    </row>
    <row r="20" spans="1:15" ht="18" customHeight="1">
      <c r="A20" s="54">
        <v>2</v>
      </c>
      <c r="B20" s="38" t="s">
        <v>832</v>
      </c>
      <c r="C20" s="38">
        <v>45.85</v>
      </c>
      <c r="D20" s="38">
        <v>44.88</v>
      </c>
      <c r="E20" s="38">
        <v>50.22</v>
      </c>
      <c r="F20" s="38">
        <v>51.46</v>
      </c>
      <c r="G20" s="38">
        <v>57.05</v>
      </c>
      <c r="H20" s="38">
        <v>49.22</v>
      </c>
      <c r="I20" s="38"/>
      <c r="J20" s="38"/>
      <c r="K20" s="38"/>
      <c r="L20" s="38"/>
      <c r="M20" s="38"/>
      <c r="N20" s="38"/>
      <c r="O20" s="38">
        <f>SUM(C20:N20)</f>
        <v>298.67999999999995</v>
      </c>
    </row>
    <row r="21" spans="1:15" ht="18" customHeight="1">
      <c r="A21" s="54">
        <v>3</v>
      </c>
      <c r="B21" s="38" t="s">
        <v>833</v>
      </c>
      <c r="C21" s="38">
        <v>41.76</v>
      </c>
      <c r="D21" s="38">
        <v>48.31</v>
      </c>
      <c r="E21" s="38">
        <v>50.66</v>
      </c>
      <c r="F21" s="38">
        <v>50.01</v>
      </c>
      <c r="G21" s="38">
        <v>54.78</v>
      </c>
      <c r="H21" s="38">
        <v>49.86</v>
      </c>
      <c r="I21" s="38"/>
      <c r="J21" s="38"/>
      <c r="K21" s="38"/>
      <c r="L21" s="38"/>
      <c r="M21" s="38"/>
      <c r="N21" s="38"/>
      <c r="O21" s="38">
        <f>SUM(C21:N21)</f>
        <v>295.38</v>
      </c>
    </row>
    <row r="22" spans="1:15" ht="18" customHeight="1">
      <c r="A22" s="54">
        <v>4</v>
      </c>
      <c r="B22" s="38" t="s">
        <v>834</v>
      </c>
      <c r="C22" s="38">
        <f aca="true" t="shared" si="2" ref="C22:H22">C19+C20-C21</f>
        <v>31.680000000000028</v>
      </c>
      <c r="D22" s="38">
        <f t="shared" si="2"/>
        <v>28.25000000000003</v>
      </c>
      <c r="E22" s="38">
        <f t="shared" si="2"/>
        <v>27.81000000000003</v>
      </c>
      <c r="F22" s="38">
        <f t="shared" si="2"/>
        <v>29.26000000000004</v>
      </c>
      <c r="G22" s="38">
        <f t="shared" si="2"/>
        <v>31.53000000000003</v>
      </c>
      <c r="H22" s="38">
        <f t="shared" si="2"/>
        <v>30.89000000000003</v>
      </c>
      <c r="I22" s="38"/>
      <c r="J22" s="38"/>
      <c r="K22" s="38"/>
      <c r="L22" s="38"/>
      <c r="M22" s="38"/>
      <c r="N22" s="38"/>
      <c r="O22" s="38">
        <f>O19+O20-O21</f>
        <v>30.889999999999986</v>
      </c>
    </row>
    <row r="23" spans="1:15" ht="18" customHeight="1">
      <c r="A23" s="56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</row>
    <row r="24" ht="18" customHeight="1">
      <c r="A24" s="51" t="s">
        <v>422</v>
      </c>
    </row>
    <row r="25" spans="1:15" ht="18" customHeight="1">
      <c r="A25" s="53" t="s">
        <v>1166</v>
      </c>
      <c r="B25" s="32" t="s">
        <v>1104</v>
      </c>
      <c r="C25" s="49" t="s">
        <v>774</v>
      </c>
      <c r="D25" s="49" t="s">
        <v>775</v>
      </c>
      <c r="E25" s="49" t="s">
        <v>776</v>
      </c>
      <c r="F25" s="49" t="s">
        <v>777</v>
      </c>
      <c r="G25" s="49" t="s">
        <v>805</v>
      </c>
      <c r="H25" s="49" t="s">
        <v>779</v>
      </c>
      <c r="I25" s="49" t="s">
        <v>780</v>
      </c>
      <c r="J25" s="49" t="s">
        <v>781</v>
      </c>
      <c r="K25" s="49" t="s">
        <v>782</v>
      </c>
      <c r="L25" s="49" t="s">
        <v>783</v>
      </c>
      <c r="M25" s="49" t="s">
        <v>784</v>
      </c>
      <c r="N25" s="49" t="s">
        <v>875</v>
      </c>
      <c r="O25" s="32" t="s">
        <v>1105</v>
      </c>
    </row>
    <row r="26" spans="1:16" ht="18" customHeight="1">
      <c r="A26" s="54">
        <v>1</v>
      </c>
      <c r="B26" s="38" t="s">
        <v>831</v>
      </c>
      <c r="C26" s="38"/>
      <c r="D26" s="38"/>
      <c r="E26" s="38"/>
      <c r="F26" s="38"/>
      <c r="G26" s="38"/>
      <c r="H26" s="38"/>
      <c r="I26" s="38">
        <f>H22</f>
        <v>30.89000000000003</v>
      </c>
      <c r="J26" s="38">
        <f>I29</f>
        <v>40.67000000000004</v>
      </c>
      <c r="K26" s="38">
        <f>J29</f>
        <v>49.45000000000004</v>
      </c>
      <c r="L26" s="38">
        <f>K29</f>
        <v>54.54000000000008</v>
      </c>
      <c r="M26" s="38">
        <f>L29</f>
        <v>16.420000000000073</v>
      </c>
      <c r="N26" s="38">
        <f>M29</f>
        <v>10.300000000000068</v>
      </c>
      <c r="O26" s="38">
        <f>I26</f>
        <v>30.89000000000003</v>
      </c>
      <c r="P26" s="39" t="s">
        <v>1122</v>
      </c>
    </row>
    <row r="27" spans="1:18" ht="18" customHeight="1">
      <c r="A27" s="54">
        <v>2</v>
      </c>
      <c r="B27" s="38" t="s">
        <v>832</v>
      </c>
      <c r="C27" s="38"/>
      <c r="D27" s="38"/>
      <c r="E27" s="38"/>
      <c r="F27" s="38"/>
      <c r="G27" s="38"/>
      <c r="H27" s="38"/>
      <c r="I27" s="38">
        <v>60.38</v>
      </c>
      <c r="J27" s="38">
        <v>60.38</v>
      </c>
      <c r="K27" s="38">
        <f>46.36+343.35+14.02</f>
        <v>403.73</v>
      </c>
      <c r="L27" s="38">
        <v>60.38</v>
      </c>
      <c r="M27" s="38">
        <v>60.38</v>
      </c>
      <c r="N27" s="38">
        <v>60.38</v>
      </c>
      <c r="O27" s="38">
        <f>SUM(C27:N27)</f>
        <v>705.63</v>
      </c>
      <c r="P27" s="39" t="s">
        <v>1122</v>
      </c>
      <c r="Q27" s="39" t="s">
        <v>1122</v>
      </c>
      <c r="R27" s="39" t="s">
        <v>1122</v>
      </c>
    </row>
    <row r="28" spans="1:18" ht="18" customHeight="1">
      <c r="A28" s="54">
        <v>3</v>
      </c>
      <c r="B28" s="38" t="s">
        <v>833</v>
      </c>
      <c r="C28" s="38"/>
      <c r="D28" s="38"/>
      <c r="E28" s="38"/>
      <c r="F28" s="38"/>
      <c r="G28" s="38"/>
      <c r="H28" s="38"/>
      <c r="I28" s="38">
        <v>50.6</v>
      </c>
      <c r="J28" s="38">
        <v>51.6</v>
      </c>
      <c r="K28" s="38">
        <f>48.18+350.46</f>
        <v>398.64</v>
      </c>
      <c r="L28" s="38">
        <v>98.5</v>
      </c>
      <c r="M28" s="38">
        <v>66.5</v>
      </c>
      <c r="N28" s="38">
        <f>41.81+0.46+2.24+1.85</f>
        <v>46.36000000000001</v>
      </c>
      <c r="O28" s="38">
        <f>SUM(C28:N28)</f>
        <v>712.1999999999999</v>
      </c>
      <c r="P28" s="39" t="s">
        <v>1122</v>
      </c>
      <c r="Q28" s="39" t="s">
        <v>1122</v>
      </c>
      <c r="R28" s="39" t="s">
        <v>1122</v>
      </c>
    </row>
    <row r="29" spans="1:16" ht="18" customHeight="1">
      <c r="A29" s="54" t="s">
        <v>1122</v>
      </c>
      <c r="B29" s="38" t="s">
        <v>834</v>
      </c>
      <c r="C29" s="38"/>
      <c r="D29" s="38"/>
      <c r="E29" s="38"/>
      <c r="F29" s="38"/>
      <c r="G29" s="38"/>
      <c r="H29" s="38"/>
      <c r="I29" s="38">
        <f aca="true" t="shared" si="3" ref="I29:N29">I26+I27-I28</f>
        <v>40.67000000000004</v>
      </c>
      <c r="J29" s="38">
        <f t="shared" si="3"/>
        <v>49.45000000000004</v>
      </c>
      <c r="K29" s="38">
        <f t="shared" si="3"/>
        <v>54.54000000000008</v>
      </c>
      <c r="L29" s="38">
        <f t="shared" si="3"/>
        <v>16.420000000000073</v>
      </c>
      <c r="M29" s="38">
        <f t="shared" si="3"/>
        <v>10.300000000000068</v>
      </c>
      <c r="N29" s="38">
        <f t="shared" si="3"/>
        <v>24.320000000000057</v>
      </c>
      <c r="O29" s="38">
        <f>O26+O27-O28</f>
        <v>24.32000000000005</v>
      </c>
      <c r="P29" s="39">
        <f>'TRF-25'!K41</f>
        <v>35.31</v>
      </c>
    </row>
    <row r="30" spans="1:15" ht="18" customHeight="1">
      <c r="A30" s="454"/>
      <c r="B30" s="455"/>
      <c r="C30" s="455"/>
      <c r="D30" s="455"/>
      <c r="E30" s="455"/>
      <c r="F30" s="455"/>
      <c r="G30" s="455"/>
      <c r="H30" s="455"/>
      <c r="I30" s="455"/>
      <c r="J30" s="455"/>
      <c r="K30" s="455"/>
      <c r="L30" s="455"/>
      <c r="M30" s="456" t="s">
        <v>517</v>
      </c>
      <c r="N30" s="455"/>
      <c r="O30" s="455">
        <v>10.99</v>
      </c>
    </row>
    <row r="31" spans="1:16" ht="18" customHeight="1">
      <c r="A31" s="454"/>
      <c r="B31" s="455"/>
      <c r="C31" s="455"/>
      <c r="D31" s="455"/>
      <c r="E31" s="455"/>
      <c r="F31" s="455"/>
      <c r="G31" s="455"/>
      <c r="H31" s="455"/>
      <c r="I31" s="455"/>
      <c r="J31" s="455"/>
      <c r="K31" s="455"/>
      <c r="L31" s="455"/>
      <c r="M31" s="455" t="s">
        <v>518</v>
      </c>
      <c r="N31" s="455"/>
      <c r="O31" s="455">
        <f>O29+O30</f>
        <v>35.31000000000005</v>
      </c>
      <c r="P31" s="39" t="s">
        <v>1122</v>
      </c>
    </row>
    <row r="32" spans="1:15" ht="18" customHeight="1">
      <c r="A32" s="56"/>
      <c r="B32" s="50"/>
      <c r="C32" s="50"/>
      <c r="D32" s="50"/>
      <c r="E32" s="50"/>
      <c r="F32" s="50"/>
      <c r="G32" s="50"/>
      <c r="H32" s="50" t="s">
        <v>1072</v>
      </c>
      <c r="I32" s="50"/>
      <c r="J32" s="50"/>
      <c r="K32" s="50"/>
      <c r="L32" s="50"/>
      <c r="M32" s="50"/>
      <c r="N32" s="50"/>
      <c r="O32" s="50"/>
    </row>
    <row r="33" ht="18" customHeight="1">
      <c r="A33" s="51" t="s">
        <v>423</v>
      </c>
    </row>
    <row r="34" spans="1:15" ht="18" customHeight="1">
      <c r="A34" s="53" t="s">
        <v>1166</v>
      </c>
      <c r="B34" s="32" t="s">
        <v>1104</v>
      </c>
      <c r="C34" s="49" t="s">
        <v>774</v>
      </c>
      <c r="D34" s="49" t="s">
        <v>775</v>
      </c>
      <c r="E34" s="49" t="s">
        <v>776</v>
      </c>
      <c r="F34" s="49" t="s">
        <v>777</v>
      </c>
      <c r="G34" s="49" t="s">
        <v>805</v>
      </c>
      <c r="H34" s="49" t="s">
        <v>779</v>
      </c>
      <c r="I34" s="49" t="s">
        <v>780</v>
      </c>
      <c r="J34" s="49" t="s">
        <v>781</v>
      </c>
      <c r="K34" s="49" t="s">
        <v>782</v>
      </c>
      <c r="L34" s="49" t="s">
        <v>783</v>
      </c>
      <c r="M34" s="49" t="s">
        <v>784</v>
      </c>
      <c r="N34" s="49" t="s">
        <v>875</v>
      </c>
      <c r="O34" s="32" t="s">
        <v>1105</v>
      </c>
    </row>
    <row r="35" spans="1:15" ht="18" customHeight="1">
      <c r="A35" s="54">
        <v>1</v>
      </c>
      <c r="B35" s="38" t="s">
        <v>831</v>
      </c>
      <c r="C35" s="38">
        <f>N29</f>
        <v>24.320000000000057</v>
      </c>
      <c r="D35" s="38">
        <f aca="true" t="shared" si="4" ref="D35:N35">C38</f>
        <v>36.34000000000006</v>
      </c>
      <c r="E35" s="38">
        <f t="shared" si="4"/>
        <v>51.060000000000066</v>
      </c>
      <c r="F35" s="38">
        <f t="shared" si="4"/>
        <v>54.100000000000136</v>
      </c>
      <c r="G35" s="38">
        <f t="shared" si="4"/>
        <v>17.250000000000128</v>
      </c>
      <c r="H35" s="38">
        <f t="shared" si="4"/>
        <v>6.270000000000124</v>
      </c>
      <c r="I35" s="38">
        <f t="shared" si="4"/>
        <v>6.290000000000127</v>
      </c>
      <c r="J35" s="38">
        <f t="shared" si="4"/>
        <v>9.31000000000013</v>
      </c>
      <c r="K35" s="38">
        <f t="shared" si="4"/>
        <v>9.330000000000126</v>
      </c>
      <c r="L35" s="38">
        <f t="shared" si="4"/>
        <v>3.830000000000126</v>
      </c>
      <c r="M35" s="38">
        <f t="shared" si="4"/>
        <v>5.110000000000127</v>
      </c>
      <c r="N35" s="38">
        <f t="shared" si="4"/>
        <v>3.6200000000001324</v>
      </c>
      <c r="O35" s="38">
        <f>C35</f>
        <v>24.320000000000057</v>
      </c>
    </row>
    <row r="36" spans="1:15" ht="18" customHeight="1">
      <c r="A36" s="54">
        <v>2</v>
      </c>
      <c r="B36" s="38" t="s">
        <v>832</v>
      </c>
      <c r="C36" s="38">
        <v>58.02</v>
      </c>
      <c r="D36" s="38">
        <v>60.2</v>
      </c>
      <c r="E36" s="38">
        <f>55.02+543.82</f>
        <v>598.84</v>
      </c>
      <c r="F36" s="38">
        <v>58.6</v>
      </c>
      <c r="G36" s="38">
        <f>55.02+2</f>
        <v>57.02</v>
      </c>
      <c r="H36" s="38">
        <v>55.02</v>
      </c>
      <c r="I36" s="38">
        <v>55.02</v>
      </c>
      <c r="J36" s="38">
        <v>55.02</v>
      </c>
      <c r="K36" s="38">
        <v>44.5</v>
      </c>
      <c r="L36" s="38">
        <v>55.02</v>
      </c>
      <c r="M36" s="38">
        <f>55.02-1.3</f>
        <v>53.720000000000006</v>
      </c>
      <c r="N36" s="38">
        <v>55.02</v>
      </c>
      <c r="O36" s="38">
        <f>SUM(C36:N36)</f>
        <v>1206</v>
      </c>
    </row>
    <row r="37" spans="1:15" ht="18" customHeight="1">
      <c r="A37" s="54">
        <v>3</v>
      </c>
      <c r="B37" s="38" t="s">
        <v>833</v>
      </c>
      <c r="C37" s="38">
        <v>46</v>
      </c>
      <c r="D37" s="38">
        <v>45.48</v>
      </c>
      <c r="E37" s="38">
        <f>550+45.8</f>
        <v>595.8</v>
      </c>
      <c r="F37" s="38">
        <f>45.45+50</f>
        <v>95.45</v>
      </c>
      <c r="G37" s="38">
        <v>68</v>
      </c>
      <c r="H37" s="38">
        <v>55</v>
      </c>
      <c r="I37" s="38">
        <v>52</v>
      </c>
      <c r="J37" s="38">
        <v>55</v>
      </c>
      <c r="K37" s="38">
        <v>50</v>
      </c>
      <c r="L37" s="38">
        <f>54-0.26</f>
        <v>53.74</v>
      </c>
      <c r="M37" s="38">
        <f>55+0.21</f>
        <v>55.21</v>
      </c>
      <c r="N37" s="38">
        <f>57-1.18</f>
        <v>55.82</v>
      </c>
      <c r="O37" s="38">
        <f>SUM(C37:N37)</f>
        <v>1227.5</v>
      </c>
    </row>
    <row r="38" spans="1:16" ht="18" customHeight="1">
      <c r="A38" s="54">
        <v>4</v>
      </c>
      <c r="B38" s="38" t="s">
        <v>834</v>
      </c>
      <c r="C38" s="38">
        <f aca="true" t="shared" si="5" ref="C38:N38">C35+C36-C37</f>
        <v>36.34000000000006</v>
      </c>
      <c r="D38" s="38">
        <f t="shared" si="5"/>
        <v>51.060000000000066</v>
      </c>
      <c r="E38" s="38">
        <f t="shared" si="5"/>
        <v>54.100000000000136</v>
      </c>
      <c r="F38" s="38">
        <f t="shared" si="5"/>
        <v>17.250000000000128</v>
      </c>
      <c r="G38" s="38">
        <f t="shared" si="5"/>
        <v>6.270000000000124</v>
      </c>
      <c r="H38" s="38">
        <f t="shared" si="5"/>
        <v>6.290000000000127</v>
      </c>
      <c r="I38" s="38">
        <f t="shared" si="5"/>
        <v>9.31000000000013</v>
      </c>
      <c r="J38" s="38">
        <f t="shared" si="5"/>
        <v>9.330000000000126</v>
      </c>
      <c r="K38" s="38">
        <f t="shared" si="5"/>
        <v>3.830000000000126</v>
      </c>
      <c r="L38" s="38">
        <f t="shared" si="5"/>
        <v>5.110000000000127</v>
      </c>
      <c r="M38" s="38">
        <f t="shared" si="5"/>
        <v>3.6200000000001324</v>
      </c>
      <c r="N38" s="38">
        <f t="shared" si="5"/>
        <v>2.8200000000001353</v>
      </c>
      <c r="O38" s="38">
        <f>O35+O36-O37</f>
        <v>2.8200000000001637</v>
      </c>
      <c r="P38" s="39">
        <f>'TRF-25'!L41</f>
        <v>13.81</v>
      </c>
    </row>
    <row r="39" spans="1:15" ht="18" customHeight="1">
      <c r="A39" s="454"/>
      <c r="B39" s="455"/>
      <c r="C39" s="455"/>
      <c r="D39" s="455"/>
      <c r="E39" s="455"/>
      <c r="F39" s="455"/>
      <c r="G39" s="455"/>
      <c r="H39" s="455"/>
      <c r="I39" s="455"/>
      <c r="J39" s="455"/>
      <c r="K39" s="455"/>
      <c r="L39" s="455"/>
      <c r="M39" s="456" t="s">
        <v>517</v>
      </c>
      <c r="N39" s="455"/>
      <c r="O39" s="455">
        <v>10.99</v>
      </c>
    </row>
    <row r="40" spans="1:15" ht="18" customHeight="1">
      <c r="A40" s="454"/>
      <c r="B40" s="455"/>
      <c r="C40" s="455"/>
      <c r="D40" s="455"/>
      <c r="E40" s="455"/>
      <c r="F40" s="455"/>
      <c r="G40" s="455"/>
      <c r="H40" s="455"/>
      <c r="I40" s="455"/>
      <c r="J40" s="455"/>
      <c r="K40" s="455"/>
      <c r="L40" s="455"/>
      <c r="M40" s="455" t="s">
        <v>518</v>
      </c>
      <c r="N40" s="455"/>
      <c r="O40" s="455">
        <f>O38+O39</f>
        <v>13.810000000000164</v>
      </c>
    </row>
  </sheetData>
  <sheetProtection/>
  <mergeCells count="1">
    <mergeCell ref="A2:N2"/>
  </mergeCells>
  <printOptions horizontalCentered="1"/>
  <pageMargins left="0.23" right="0.18" top="0.59" bottom="0.57" header="0.37" footer="0.25"/>
  <pageSetup fitToHeight="1" fitToWidth="1" horizontalDpi="600" verticalDpi="600" orientation="landscape" paperSize="9" scale="72" r:id="rId1"/>
  <headerFooter alignWithMargins="0">
    <oddFooter>&amp;L&amp;F-&amp;A&amp;CPage-&amp;P of &amp;P&amp;R&amp;D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3:G81"/>
  <sheetViews>
    <sheetView zoomScalePageLayoutView="0" workbookViewId="0" topLeftCell="A13">
      <selection activeCell="E70" sqref="E70"/>
    </sheetView>
  </sheetViews>
  <sheetFormatPr defaultColWidth="9.140625" defaultRowHeight="12.75"/>
  <cols>
    <col min="1" max="1" width="6.28125" style="45" customWidth="1"/>
    <col min="2" max="2" width="38.57421875" style="45" customWidth="1"/>
    <col min="3" max="3" width="16.140625" style="45" customWidth="1"/>
    <col min="4" max="5" width="15.28125" style="45" customWidth="1"/>
    <col min="6" max="7" width="16.140625" style="45" customWidth="1"/>
    <col min="8" max="12" width="9.140625" style="45" customWidth="1"/>
    <col min="13" max="13" width="10.8515625" style="45" customWidth="1"/>
    <col min="14" max="16384" width="9.140625" style="45" customWidth="1"/>
  </cols>
  <sheetData>
    <row r="3" spans="1:5" ht="12.75">
      <c r="A3" s="9" t="s">
        <v>1398</v>
      </c>
      <c r="E3" s="84"/>
    </row>
    <row r="4" spans="1:6" ht="12.75">
      <c r="A4" s="9"/>
      <c r="E4" s="84"/>
      <c r="F4" s="85"/>
    </row>
    <row r="5" spans="1:6" ht="12.75">
      <c r="A5" s="9"/>
      <c r="B5" s="15" t="s">
        <v>1350</v>
      </c>
      <c r="E5" s="84"/>
      <c r="F5" s="85" t="s">
        <v>810</v>
      </c>
    </row>
    <row r="6" spans="1:6" ht="12.75">
      <c r="A6" s="9"/>
      <c r="B6" s="15" t="s">
        <v>1351</v>
      </c>
      <c r="E6" s="84"/>
      <c r="F6" s="85"/>
    </row>
    <row r="7" spans="1:6" ht="12.75">
      <c r="A7" s="9"/>
      <c r="B7" s="15" t="s">
        <v>1352</v>
      </c>
      <c r="E7" s="84"/>
      <c r="F7" s="85"/>
    </row>
    <row r="8" ht="12.75">
      <c r="F8" s="1"/>
    </row>
    <row r="9" ht="12.75">
      <c r="A9" s="1" t="s">
        <v>1128</v>
      </c>
    </row>
    <row r="10" ht="12.75">
      <c r="A10" s="1"/>
    </row>
    <row r="11" spans="1:7" ht="12.75">
      <c r="A11" s="1" t="s">
        <v>1353</v>
      </c>
      <c r="G11" s="74" t="s">
        <v>857</v>
      </c>
    </row>
    <row r="12" spans="1:7" ht="12.75">
      <c r="A12" s="1"/>
      <c r="G12" s="74"/>
    </row>
    <row r="13" spans="1:7" ht="38.25">
      <c r="A13" s="77"/>
      <c r="B13" s="2" t="s">
        <v>1129</v>
      </c>
      <c r="C13" s="17" t="s">
        <v>559</v>
      </c>
      <c r="D13" s="17" t="s">
        <v>1056</v>
      </c>
      <c r="E13" s="17" t="s">
        <v>1057</v>
      </c>
      <c r="F13" s="17" t="s">
        <v>560</v>
      </c>
      <c r="G13" s="17" t="s">
        <v>1137</v>
      </c>
    </row>
    <row r="14" spans="1:7" ht="12.75">
      <c r="A14" s="77"/>
      <c r="B14" s="108">
        <v>1</v>
      </c>
      <c r="C14" s="108">
        <v>2</v>
      </c>
      <c r="D14" s="108">
        <v>3</v>
      </c>
      <c r="E14" s="108">
        <v>4</v>
      </c>
      <c r="F14" s="108">
        <v>5</v>
      </c>
      <c r="G14" s="108">
        <v>6</v>
      </c>
    </row>
    <row r="15" spans="1:7" ht="12.75">
      <c r="A15" s="77"/>
      <c r="B15" s="108"/>
      <c r="C15" s="108"/>
      <c r="D15" s="108"/>
      <c r="E15" s="108"/>
      <c r="F15" s="108"/>
      <c r="G15" s="108"/>
    </row>
    <row r="16" spans="1:7" ht="12.75">
      <c r="A16" s="2" t="s">
        <v>1285</v>
      </c>
      <c r="B16" s="2" t="s">
        <v>1138</v>
      </c>
      <c r="C16" s="92">
        <v>160.07</v>
      </c>
      <c r="D16" s="119">
        <v>43</v>
      </c>
      <c r="E16" s="2"/>
      <c r="F16" s="78">
        <f>C16+D16-E16</f>
        <v>203.07</v>
      </c>
      <c r="G16" s="92"/>
    </row>
    <row r="17" spans="1:7" ht="12.75">
      <c r="A17" s="99" t="s">
        <v>838</v>
      </c>
      <c r="B17" s="83" t="s">
        <v>390</v>
      </c>
      <c r="C17" s="120">
        <v>300</v>
      </c>
      <c r="D17" s="113"/>
      <c r="E17" s="77"/>
      <c r="F17" s="78">
        <f aca="true" t="shared" si="0" ref="F17:F33">C17+D17-E17</f>
        <v>300</v>
      </c>
      <c r="G17" s="77"/>
    </row>
    <row r="18" spans="1:7" ht="12.75">
      <c r="A18" s="99" t="s">
        <v>839</v>
      </c>
      <c r="B18" s="91" t="s">
        <v>1139</v>
      </c>
      <c r="C18" s="121">
        <v>1000</v>
      </c>
      <c r="D18" s="77"/>
      <c r="E18" s="77"/>
      <c r="F18" s="78">
        <f t="shared" si="0"/>
        <v>1000</v>
      </c>
      <c r="G18" s="77"/>
    </row>
    <row r="19" spans="1:7" ht="12.75">
      <c r="A19" s="99" t="s">
        <v>840</v>
      </c>
      <c r="B19" s="91" t="s">
        <v>1140</v>
      </c>
      <c r="C19" s="121">
        <v>0</v>
      </c>
      <c r="D19" s="77"/>
      <c r="E19" s="77"/>
      <c r="F19" s="78">
        <f t="shared" si="0"/>
        <v>0</v>
      </c>
      <c r="G19" s="77"/>
    </row>
    <row r="20" spans="1:7" ht="12.75">
      <c r="A20" s="99" t="s">
        <v>849</v>
      </c>
      <c r="B20" s="83" t="s">
        <v>391</v>
      </c>
      <c r="C20" s="120">
        <f>C16</f>
        <v>160.07</v>
      </c>
      <c r="D20" s="120">
        <f>D16</f>
        <v>43</v>
      </c>
      <c r="E20" s="77"/>
      <c r="F20" s="78">
        <f t="shared" si="0"/>
        <v>203.07</v>
      </c>
      <c r="G20" s="77"/>
    </row>
    <row r="21" spans="1:7" ht="12.75">
      <c r="A21" s="99" t="s">
        <v>439</v>
      </c>
      <c r="B21" s="91" t="s">
        <v>1139</v>
      </c>
      <c r="C21" s="121">
        <v>1000</v>
      </c>
      <c r="D21" s="77"/>
      <c r="E21" s="77"/>
      <c r="F21" s="78">
        <f t="shared" si="0"/>
        <v>1000</v>
      </c>
      <c r="G21" s="77"/>
    </row>
    <row r="22" spans="1:7" ht="12.75">
      <c r="A22" s="99" t="s">
        <v>1059</v>
      </c>
      <c r="B22" s="91" t="s">
        <v>1140</v>
      </c>
      <c r="C22" s="121">
        <v>0</v>
      </c>
      <c r="D22" s="77"/>
      <c r="E22" s="77"/>
      <c r="F22" s="78">
        <f t="shared" si="0"/>
        <v>0</v>
      </c>
      <c r="G22" s="77"/>
    </row>
    <row r="23" spans="1:7" ht="12.75">
      <c r="A23" s="99" t="s">
        <v>1060</v>
      </c>
      <c r="B23" s="83" t="s">
        <v>394</v>
      </c>
      <c r="C23" s="78">
        <f>C20</f>
        <v>160.07</v>
      </c>
      <c r="D23" s="78">
        <f>D20</f>
        <v>43</v>
      </c>
      <c r="E23" s="77"/>
      <c r="F23" s="78">
        <f t="shared" si="0"/>
        <v>203.07</v>
      </c>
      <c r="G23" s="77"/>
    </row>
    <row r="24" spans="1:7" ht="12.75">
      <c r="A24" s="99" t="s">
        <v>1061</v>
      </c>
      <c r="B24" s="91" t="s">
        <v>1139</v>
      </c>
      <c r="C24" s="121">
        <v>1000</v>
      </c>
      <c r="D24" s="77"/>
      <c r="E24" s="77"/>
      <c r="F24" s="78">
        <f t="shared" si="0"/>
        <v>1000</v>
      </c>
      <c r="G24" s="77"/>
    </row>
    <row r="25" spans="1:7" ht="12.75">
      <c r="A25" s="99" t="s">
        <v>1062</v>
      </c>
      <c r="B25" s="91" t="s">
        <v>1140</v>
      </c>
      <c r="C25" s="121">
        <v>0</v>
      </c>
      <c r="D25" s="77"/>
      <c r="E25" s="77"/>
      <c r="F25" s="78">
        <f t="shared" si="0"/>
        <v>0</v>
      </c>
      <c r="G25" s="77"/>
    </row>
    <row r="26" spans="1:7" ht="12.75">
      <c r="A26" s="99" t="s">
        <v>383</v>
      </c>
      <c r="B26" s="83" t="s">
        <v>395</v>
      </c>
      <c r="C26" s="78">
        <f>C23</f>
        <v>160.07</v>
      </c>
      <c r="D26" s="78">
        <f>D23</f>
        <v>43</v>
      </c>
      <c r="E26" s="77"/>
      <c r="F26" s="78">
        <f t="shared" si="0"/>
        <v>203.07</v>
      </c>
      <c r="G26" s="77"/>
    </row>
    <row r="27" spans="1:7" ht="12.75">
      <c r="A27" s="99" t="s">
        <v>384</v>
      </c>
      <c r="B27" s="91" t="s">
        <v>1139</v>
      </c>
      <c r="C27" s="121">
        <v>1000</v>
      </c>
      <c r="D27" s="77"/>
      <c r="E27" s="77"/>
      <c r="F27" s="78">
        <f t="shared" si="0"/>
        <v>1000</v>
      </c>
      <c r="G27" s="77"/>
    </row>
    <row r="28" spans="1:7" ht="12.75">
      <c r="A28" s="99" t="s">
        <v>385</v>
      </c>
      <c r="B28" s="91" t="s">
        <v>1140</v>
      </c>
      <c r="C28" s="121">
        <v>0</v>
      </c>
      <c r="D28" s="77"/>
      <c r="E28" s="77"/>
      <c r="F28" s="78">
        <f t="shared" si="0"/>
        <v>0</v>
      </c>
      <c r="G28" s="77"/>
    </row>
    <row r="29" spans="1:7" ht="12.75">
      <c r="A29" s="99" t="s">
        <v>386</v>
      </c>
      <c r="B29" s="91" t="s">
        <v>1141</v>
      </c>
      <c r="C29" s="121">
        <v>0</v>
      </c>
      <c r="D29" s="77"/>
      <c r="E29" s="77"/>
      <c r="F29" s="78">
        <f t="shared" si="0"/>
        <v>0</v>
      </c>
      <c r="G29" s="77"/>
    </row>
    <row r="30" spans="1:7" ht="12.75">
      <c r="A30" s="99" t="s">
        <v>387</v>
      </c>
      <c r="B30" s="83" t="s">
        <v>396</v>
      </c>
      <c r="C30" s="78">
        <f>C26</f>
        <v>160.07</v>
      </c>
      <c r="D30" s="78">
        <f>D26</f>
        <v>43</v>
      </c>
      <c r="E30" s="77"/>
      <c r="F30" s="78">
        <f t="shared" si="0"/>
        <v>203.07</v>
      </c>
      <c r="G30" s="77"/>
    </row>
    <row r="31" spans="1:7" ht="12.75">
      <c r="A31" s="99" t="s">
        <v>388</v>
      </c>
      <c r="B31" s="91" t="s">
        <v>1139</v>
      </c>
      <c r="C31" s="121">
        <v>1000</v>
      </c>
      <c r="D31" s="77"/>
      <c r="E31" s="77"/>
      <c r="F31" s="78">
        <f t="shared" si="0"/>
        <v>1000</v>
      </c>
      <c r="G31" s="77"/>
    </row>
    <row r="32" spans="1:7" ht="12.75">
      <c r="A32" s="99" t="s">
        <v>389</v>
      </c>
      <c r="B32" s="91" t="s">
        <v>1140</v>
      </c>
      <c r="C32" s="121">
        <v>0</v>
      </c>
      <c r="D32" s="77"/>
      <c r="E32" s="77"/>
      <c r="F32" s="78">
        <f t="shared" si="0"/>
        <v>0</v>
      </c>
      <c r="G32" s="77"/>
    </row>
    <row r="33" spans="1:7" ht="12.75">
      <c r="A33" s="77"/>
      <c r="B33" s="2" t="s">
        <v>397</v>
      </c>
      <c r="C33" s="78">
        <f>C30</f>
        <v>160.07</v>
      </c>
      <c r="D33" s="78">
        <f>D30</f>
        <v>43</v>
      </c>
      <c r="E33" s="44">
        <v>0</v>
      </c>
      <c r="F33" s="78">
        <f t="shared" si="0"/>
        <v>203.07</v>
      </c>
      <c r="G33" s="77"/>
    </row>
    <row r="34" spans="1:7" ht="12.75">
      <c r="A34" s="122"/>
      <c r="B34" s="123"/>
      <c r="C34" s="124"/>
      <c r="D34" s="124"/>
      <c r="E34" s="125"/>
      <c r="F34" s="126"/>
      <c r="G34" s="122"/>
    </row>
    <row r="35" ht="12.75">
      <c r="A35" s="1" t="s">
        <v>1354</v>
      </c>
    </row>
    <row r="36" ht="12.75">
      <c r="A36" s="1"/>
    </row>
    <row r="37" spans="1:7" ht="38.25">
      <c r="A37" s="77"/>
      <c r="B37" s="2" t="s">
        <v>1129</v>
      </c>
      <c r="C37" s="17" t="s">
        <v>559</v>
      </c>
      <c r="D37" s="17" t="s">
        <v>1056</v>
      </c>
      <c r="E37" s="17" t="s">
        <v>1057</v>
      </c>
      <c r="F37" s="17" t="s">
        <v>560</v>
      </c>
      <c r="G37" s="17" t="s">
        <v>1137</v>
      </c>
    </row>
    <row r="38" spans="1:7" ht="12.75">
      <c r="A38" s="77"/>
      <c r="B38" s="108">
        <v>1</v>
      </c>
      <c r="C38" s="108">
        <v>2</v>
      </c>
      <c r="D38" s="108">
        <v>3</v>
      </c>
      <c r="E38" s="108">
        <v>4</v>
      </c>
      <c r="F38" s="108">
        <v>5</v>
      </c>
      <c r="G38" s="108">
        <v>6</v>
      </c>
    </row>
    <row r="39" spans="1:7" ht="12.75">
      <c r="A39" s="77"/>
      <c r="B39" s="108"/>
      <c r="C39" s="108"/>
      <c r="D39" s="108"/>
      <c r="E39" s="108"/>
      <c r="F39" s="108"/>
      <c r="G39" s="108"/>
    </row>
    <row r="40" spans="1:7" ht="12.75">
      <c r="A40" s="2" t="s">
        <v>1285</v>
      </c>
      <c r="B40" s="2" t="s">
        <v>1138</v>
      </c>
      <c r="C40" s="113">
        <f>F16</f>
        <v>203.07</v>
      </c>
      <c r="D40" s="119">
        <v>50</v>
      </c>
      <c r="E40" s="2"/>
      <c r="F40" s="78">
        <f>C40+D40-E40</f>
        <v>253.07</v>
      </c>
      <c r="G40" s="92"/>
    </row>
    <row r="41" spans="1:7" ht="12.75">
      <c r="A41" s="99" t="s">
        <v>838</v>
      </c>
      <c r="B41" s="83" t="s">
        <v>390</v>
      </c>
      <c r="C41" s="120">
        <v>300</v>
      </c>
      <c r="D41" s="113"/>
      <c r="E41" s="77"/>
      <c r="F41" s="78">
        <f aca="true" t="shared" si="1" ref="F41:F57">C41+D41-E41</f>
        <v>300</v>
      </c>
      <c r="G41" s="77"/>
    </row>
    <row r="42" spans="1:7" ht="12.75">
      <c r="A42" s="99" t="s">
        <v>839</v>
      </c>
      <c r="B42" s="91" t="s">
        <v>1139</v>
      </c>
      <c r="C42" s="121">
        <v>1000</v>
      </c>
      <c r="D42" s="77"/>
      <c r="E42" s="77"/>
      <c r="F42" s="78">
        <f t="shared" si="1"/>
        <v>1000</v>
      </c>
      <c r="G42" s="77"/>
    </row>
    <row r="43" spans="1:7" ht="12.75">
      <c r="A43" s="99" t="s">
        <v>840</v>
      </c>
      <c r="B43" s="91" t="s">
        <v>1140</v>
      </c>
      <c r="C43" s="121">
        <v>0</v>
      </c>
      <c r="D43" s="77"/>
      <c r="E43" s="77"/>
      <c r="F43" s="78">
        <f t="shared" si="1"/>
        <v>0</v>
      </c>
      <c r="G43" s="77"/>
    </row>
    <row r="44" spans="1:7" ht="12.75">
      <c r="A44" s="99" t="s">
        <v>849</v>
      </c>
      <c r="B44" s="83" t="s">
        <v>391</v>
      </c>
      <c r="C44" s="120">
        <f>C40</f>
        <v>203.07</v>
      </c>
      <c r="D44" s="120">
        <f>D40</f>
        <v>50</v>
      </c>
      <c r="E44" s="77"/>
      <c r="F44" s="78">
        <f t="shared" si="1"/>
        <v>253.07</v>
      </c>
      <c r="G44" s="77"/>
    </row>
    <row r="45" spans="1:7" ht="12.75">
      <c r="A45" s="99" t="s">
        <v>439</v>
      </c>
      <c r="B45" s="91" t="s">
        <v>1139</v>
      </c>
      <c r="C45" s="121">
        <v>1000</v>
      </c>
      <c r="D45" s="77"/>
      <c r="E45" s="77"/>
      <c r="F45" s="78">
        <f t="shared" si="1"/>
        <v>1000</v>
      </c>
      <c r="G45" s="77"/>
    </row>
    <row r="46" spans="1:7" ht="12.75">
      <c r="A46" s="99" t="s">
        <v>1059</v>
      </c>
      <c r="B46" s="91" t="s">
        <v>1140</v>
      </c>
      <c r="C46" s="121">
        <v>0</v>
      </c>
      <c r="D46" s="77"/>
      <c r="E46" s="77"/>
      <c r="F46" s="78">
        <f t="shared" si="1"/>
        <v>0</v>
      </c>
      <c r="G46" s="77"/>
    </row>
    <row r="47" spans="1:7" ht="12.75">
      <c r="A47" s="99" t="s">
        <v>1060</v>
      </c>
      <c r="B47" s="83" t="s">
        <v>394</v>
      </c>
      <c r="C47" s="78">
        <f>C44</f>
        <v>203.07</v>
      </c>
      <c r="D47" s="78">
        <f>D44</f>
        <v>50</v>
      </c>
      <c r="E47" s="77"/>
      <c r="F47" s="78">
        <f t="shared" si="1"/>
        <v>253.07</v>
      </c>
      <c r="G47" s="77"/>
    </row>
    <row r="48" spans="1:7" ht="12.75">
      <c r="A48" s="99" t="s">
        <v>1061</v>
      </c>
      <c r="B48" s="91" t="s">
        <v>1139</v>
      </c>
      <c r="C48" s="121">
        <v>1000</v>
      </c>
      <c r="D48" s="77"/>
      <c r="E48" s="77"/>
      <c r="F48" s="78">
        <f t="shared" si="1"/>
        <v>1000</v>
      </c>
      <c r="G48" s="77"/>
    </row>
    <row r="49" spans="1:7" ht="12.75">
      <c r="A49" s="99" t="s">
        <v>1062</v>
      </c>
      <c r="B49" s="91" t="s">
        <v>1140</v>
      </c>
      <c r="C49" s="121">
        <v>0</v>
      </c>
      <c r="D49" s="77"/>
      <c r="E49" s="77"/>
      <c r="F49" s="78">
        <f t="shared" si="1"/>
        <v>0</v>
      </c>
      <c r="G49" s="77"/>
    </row>
    <row r="50" spans="1:7" ht="12.75">
      <c r="A50" s="99" t="s">
        <v>383</v>
      </c>
      <c r="B50" s="83" t="s">
        <v>395</v>
      </c>
      <c r="C50" s="78">
        <f>C47</f>
        <v>203.07</v>
      </c>
      <c r="D50" s="78">
        <f>D47</f>
        <v>50</v>
      </c>
      <c r="E50" s="77"/>
      <c r="F50" s="78">
        <f t="shared" si="1"/>
        <v>253.07</v>
      </c>
      <c r="G50" s="77"/>
    </row>
    <row r="51" spans="1:7" ht="12.75">
      <c r="A51" s="99" t="s">
        <v>384</v>
      </c>
      <c r="B51" s="91" t="s">
        <v>1139</v>
      </c>
      <c r="C51" s="121">
        <v>1000</v>
      </c>
      <c r="D51" s="77"/>
      <c r="E51" s="77"/>
      <c r="F51" s="78">
        <f t="shared" si="1"/>
        <v>1000</v>
      </c>
      <c r="G51" s="77"/>
    </row>
    <row r="52" spans="1:7" ht="12.75">
      <c r="A52" s="99" t="s">
        <v>385</v>
      </c>
      <c r="B52" s="91" t="s">
        <v>1140</v>
      </c>
      <c r="C52" s="121">
        <v>0</v>
      </c>
      <c r="D52" s="77"/>
      <c r="E52" s="77"/>
      <c r="F52" s="78">
        <f t="shared" si="1"/>
        <v>0</v>
      </c>
      <c r="G52" s="77"/>
    </row>
    <row r="53" spans="1:7" ht="12.75">
      <c r="A53" s="99" t="s">
        <v>386</v>
      </c>
      <c r="B53" s="91" t="s">
        <v>1141</v>
      </c>
      <c r="C53" s="121">
        <v>0</v>
      </c>
      <c r="D53" s="77"/>
      <c r="E53" s="77"/>
      <c r="F53" s="78">
        <f t="shared" si="1"/>
        <v>0</v>
      </c>
      <c r="G53" s="77"/>
    </row>
    <row r="54" spans="1:7" ht="12.75">
      <c r="A54" s="99" t="s">
        <v>387</v>
      </c>
      <c r="B54" s="83" t="s">
        <v>396</v>
      </c>
      <c r="C54" s="78">
        <f>C50</f>
        <v>203.07</v>
      </c>
      <c r="D54" s="78">
        <f>D50</f>
        <v>50</v>
      </c>
      <c r="E54" s="77"/>
      <c r="F54" s="78">
        <f t="shared" si="1"/>
        <v>253.07</v>
      </c>
      <c r="G54" s="77"/>
    </row>
    <row r="55" spans="1:7" ht="12.75">
      <c r="A55" s="99" t="s">
        <v>388</v>
      </c>
      <c r="B55" s="91" t="s">
        <v>1139</v>
      </c>
      <c r="C55" s="121">
        <v>1000</v>
      </c>
      <c r="D55" s="77"/>
      <c r="E55" s="77"/>
      <c r="F55" s="78">
        <f t="shared" si="1"/>
        <v>1000</v>
      </c>
      <c r="G55" s="77"/>
    </row>
    <row r="56" spans="1:7" ht="12.75">
      <c r="A56" s="99" t="s">
        <v>389</v>
      </c>
      <c r="B56" s="91" t="s">
        <v>1140</v>
      </c>
      <c r="C56" s="121">
        <v>0</v>
      </c>
      <c r="D56" s="77"/>
      <c r="E56" s="77"/>
      <c r="F56" s="78">
        <f t="shared" si="1"/>
        <v>0</v>
      </c>
      <c r="G56" s="77"/>
    </row>
    <row r="57" spans="1:7" ht="12.75">
      <c r="A57" s="77"/>
      <c r="B57" s="2" t="s">
        <v>397</v>
      </c>
      <c r="C57" s="78">
        <f>C54</f>
        <v>203.07</v>
      </c>
      <c r="D57" s="78">
        <f>D54</f>
        <v>50</v>
      </c>
      <c r="E57" s="44">
        <v>0</v>
      </c>
      <c r="F57" s="78">
        <f t="shared" si="1"/>
        <v>253.07</v>
      </c>
      <c r="G57" s="77"/>
    </row>
    <row r="58" spans="1:7" ht="12.75">
      <c r="A58" s="122"/>
      <c r="B58" s="123"/>
      <c r="C58" s="124"/>
      <c r="D58" s="124"/>
      <c r="E58" s="125"/>
      <c r="F58" s="126"/>
      <c r="G58" s="122"/>
    </row>
    <row r="59" ht="12.75">
      <c r="A59" s="1" t="s">
        <v>1355</v>
      </c>
    </row>
    <row r="60" ht="12.75">
      <c r="A60" s="1"/>
    </row>
    <row r="61" spans="1:7" ht="38.25">
      <c r="A61" s="77"/>
      <c r="B61" s="2" t="s">
        <v>1129</v>
      </c>
      <c r="C61" s="17" t="s">
        <v>1314</v>
      </c>
      <c r="D61" s="17" t="s">
        <v>1056</v>
      </c>
      <c r="E61" s="17" t="s">
        <v>1057</v>
      </c>
      <c r="F61" s="17" t="s">
        <v>1315</v>
      </c>
      <c r="G61" s="17" t="s">
        <v>1137</v>
      </c>
    </row>
    <row r="62" spans="1:7" ht="12.75">
      <c r="A62" s="77"/>
      <c r="B62" s="108">
        <v>1</v>
      </c>
      <c r="C62" s="108">
        <v>2</v>
      </c>
      <c r="D62" s="108">
        <v>3</v>
      </c>
      <c r="E62" s="108">
        <v>4</v>
      </c>
      <c r="F62" s="108">
        <v>5</v>
      </c>
      <c r="G62" s="108">
        <v>6</v>
      </c>
    </row>
    <row r="63" spans="1:7" ht="12.75">
      <c r="A63" s="77"/>
      <c r="B63" s="108"/>
      <c r="C63" s="108"/>
      <c r="D63" s="108"/>
      <c r="E63" s="108"/>
      <c r="F63" s="108"/>
      <c r="G63" s="108"/>
    </row>
    <row r="64" spans="1:7" ht="12.75">
      <c r="A64" s="2" t="s">
        <v>1285</v>
      </c>
      <c r="B64" s="2" t="s">
        <v>1138</v>
      </c>
      <c r="C64" s="113">
        <f>F57</f>
        <v>253.07</v>
      </c>
      <c r="D64" s="119">
        <v>0</v>
      </c>
      <c r="E64" s="2"/>
      <c r="F64" s="78">
        <f>C64+D64-E64</f>
        <v>253.07</v>
      </c>
      <c r="G64" s="92"/>
    </row>
    <row r="65" spans="1:7" ht="12.75">
      <c r="A65" s="99" t="s">
        <v>838</v>
      </c>
      <c r="B65" s="83" t="s">
        <v>390</v>
      </c>
      <c r="C65" s="120">
        <v>300</v>
      </c>
      <c r="D65" s="113"/>
      <c r="E65" s="77"/>
      <c r="F65" s="78">
        <f aca="true" t="shared" si="2" ref="F65:F81">C65+D65-E65</f>
        <v>300</v>
      </c>
      <c r="G65" s="77"/>
    </row>
    <row r="66" spans="1:7" ht="12.75">
      <c r="A66" s="99" t="s">
        <v>839</v>
      </c>
      <c r="B66" s="91" t="s">
        <v>1139</v>
      </c>
      <c r="C66" s="121">
        <v>1000</v>
      </c>
      <c r="D66" s="77"/>
      <c r="E66" s="77"/>
      <c r="F66" s="78">
        <f t="shared" si="2"/>
        <v>1000</v>
      </c>
      <c r="G66" s="77"/>
    </row>
    <row r="67" spans="1:7" ht="12.75">
      <c r="A67" s="99" t="s">
        <v>840</v>
      </c>
      <c r="B67" s="91" t="s">
        <v>1140</v>
      </c>
      <c r="C67" s="121">
        <v>0</v>
      </c>
      <c r="D67" s="77"/>
      <c r="E67" s="77"/>
      <c r="F67" s="78">
        <f t="shared" si="2"/>
        <v>0</v>
      </c>
      <c r="G67" s="77"/>
    </row>
    <row r="68" spans="1:7" ht="12.75">
      <c r="A68" s="99" t="s">
        <v>849</v>
      </c>
      <c r="B68" s="83" t="s">
        <v>391</v>
      </c>
      <c r="C68" s="120">
        <f>C64</f>
        <v>253.07</v>
      </c>
      <c r="D68" s="120">
        <f>D64</f>
        <v>0</v>
      </c>
      <c r="E68" s="77"/>
      <c r="F68" s="78">
        <f t="shared" si="2"/>
        <v>253.07</v>
      </c>
      <c r="G68" s="77"/>
    </row>
    <row r="69" spans="1:7" ht="12.75">
      <c r="A69" s="99" t="s">
        <v>439</v>
      </c>
      <c r="B69" s="91" t="s">
        <v>1139</v>
      </c>
      <c r="C69" s="121">
        <v>1000</v>
      </c>
      <c r="D69" s="77"/>
      <c r="E69" s="77"/>
      <c r="F69" s="78">
        <f t="shared" si="2"/>
        <v>1000</v>
      </c>
      <c r="G69" s="77"/>
    </row>
    <row r="70" spans="1:7" ht="12.75">
      <c r="A70" s="99" t="s">
        <v>1059</v>
      </c>
      <c r="B70" s="91" t="s">
        <v>1140</v>
      </c>
      <c r="C70" s="121">
        <v>0</v>
      </c>
      <c r="D70" s="77"/>
      <c r="E70" s="77"/>
      <c r="F70" s="78">
        <f t="shared" si="2"/>
        <v>0</v>
      </c>
      <c r="G70" s="77"/>
    </row>
    <row r="71" spans="1:7" ht="12.75">
      <c r="A71" s="99" t="s">
        <v>1060</v>
      </c>
      <c r="B71" s="83" t="s">
        <v>394</v>
      </c>
      <c r="C71" s="78">
        <f>C68</f>
        <v>253.07</v>
      </c>
      <c r="D71" s="78">
        <f>D68</f>
        <v>0</v>
      </c>
      <c r="E71" s="77"/>
      <c r="F71" s="78">
        <f t="shared" si="2"/>
        <v>253.07</v>
      </c>
      <c r="G71" s="77"/>
    </row>
    <row r="72" spans="1:7" ht="12.75">
      <c r="A72" s="99" t="s">
        <v>1061</v>
      </c>
      <c r="B72" s="91" t="s">
        <v>1139</v>
      </c>
      <c r="C72" s="121">
        <v>1000</v>
      </c>
      <c r="D72" s="77"/>
      <c r="E72" s="77"/>
      <c r="F72" s="78">
        <f t="shared" si="2"/>
        <v>1000</v>
      </c>
      <c r="G72" s="77"/>
    </row>
    <row r="73" spans="1:7" ht="12.75">
      <c r="A73" s="99" t="s">
        <v>1062</v>
      </c>
      <c r="B73" s="91" t="s">
        <v>1140</v>
      </c>
      <c r="C73" s="121">
        <v>0</v>
      </c>
      <c r="D73" s="77"/>
      <c r="E73" s="77"/>
      <c r="F73" s="78">
        <f t="shared" si="2"/>
        <v>0</v>
      </c>
      <c r="G73" s="77"/>
    </row>
    <row r="74" spans="1:7" ht="12.75">
      <c r="A74" s="99" t="s">
        <v>383</v>
      </c>
      <c r="B74" s="83" t="s">
        <v>395</v>
      </c>
      <c r="C74" s="78">
        <f>C71</f>
        <v>253.07</v>
      </c>
      <c r="D74" s="78">
        <f>D71</f>
        <v>0</v>
      </c>
      <c r="E74" s="77"/>
      <c r="F74" s="78">
        <f t="shared" si="2"/>
        <v>253.07</v>
      </c>
      <c r="G74" s="77"/>
    </row>
    <row r="75" spans="1:7" ht="12.75">
      <c r="A75" s="99" t="s">
        <v>384</v>
      </c>
      <c r="B75" s="91" t="s">
        <v>1139</v>
      </c>
      <c r="C75" s="121">
        <v>1000</v>
      </c>
      <c r="D75" s="77"/>
      <c r="E75" s="77"/>
      <c r="F75" s="78">
        <f t="shared" si="2"/>
        <v>1000</v>
      </c>
      <c r="G75" s="77"/>
    </row>
    <row r="76" spans="1:7" ht="12.75">
      <c r="A76" s="99" t="s">
        <v>385</v>
      </c>
      <c r="B76" s="91" t="s">
        <v>1140</v>
      </c>
      <c r="C76" s="121">
        <v>0</v>
      </c>
      <c r="D76" s="77"/>
      <c r="E76" s="77"/>
      <c r="F76" s="78">
        <f t="shared" si="2"/>
        <v>0</v>
      </c>
      <c r="G76" s="77"/>
    </row>
    <row r="77" spans="1:7" ht="12.75">
      <c r="A77" s="99" t="s">
        <v>386</v>
      </c>
      <c r="B77" s="91" t="s">
        <v>1141</v>
      </c>
      <c r="C77" s="121">
        <v>0</v>
      </c>
      <c r="D77" s="77"/>
      <c r="E77" s="77"/>
      <c r="F77" s="78">
        <f t="shared" si="2"/>
        <v>0</v>
      </c>
      <c r="G77" s="77"/>
    </row>
    <row r="78" spans="1:7" ht="12.75">
      <c r="A78" s="99" t="s">
        <v>387</v>
      </c>
      <c r="B78" s="83" t="s">
        <v>396</v>
      </c>
      <c r="C78" s="78">
        <f>C74</f>
        <v>253.07</v>
      </c>
      <c r="D78" s="78">
        <f>D74</f>
        <v>0</v>
      </c>
      <c r="E78" s="77"/>
      <c r="F78" s="78">
        <f t="shared" si="2"/>
        <v>253.07</v>
      </c>
      <c r="G78" s="77"/>
    </row>
    <row r="79" spans="1:7" ht="12.75">
      <c r="A79" s="99" t="s">
        <v>388</v>
      </c>
      <c r="B79" s="91" t="s">
        <v>1139</v>
      </c>
      <c r="C79" s="121">
        <v>1000</v>
      </c>
      <c r="D79" s="77"/>
      <c r="E79" s="77"/>
      <c r="F79" s="78">
        <f t="shared" si="2"/>
        <v>1000</v>
      </c>
      <c r="G79" s="77"/>
    </row>
    <row r="80" spans="1:7" ht="12.75">
      <c r="A80" s="99" t="s">
        <v>389</v>
      </c>
      <c r="B80" s="91" t="s">
        <v>1140</v>
      </c>
      <c r="C80" s="121">
        <v>0</v>
      </c>
      <c r="D80" s="77"/>
      <c r="E80" s="77"/>
      <c r="F80" s="78">
        <f t="shared" si="2"/>
        <v>0</v>
      </c>
      <c r="G80" s="77"/>
    </row>
    <row r="81" spans="1:7" ht="12.75">
      <c r="A81" s="77"/>
      <c r="B81" s="2" t="s">
        <v>397</v>
      </c>
      <c r="C81" s="78">
        <f>C78</f>
        <v>253.07</v>
      </c>
      <c r="D81" s="78">
        <f>D78</f>
        <v>0</v>
      </c>
      <c r="E81" s="44">
        <v>0</v>
      </c>
      <c r="F81" s="78">
        <f t="shared" si="2"/>
        <v>253.07</v>
      </c>
      <c r="G81" s="77"/>
    </row>
  </sheetData>
  <sheetProtection/>
  <printOptions horizontalCentered="1"/>
  <pageMargins left="0.36" right="0.33" top="0.24" bottom="0.49" header="1.69" footer="0.13"/>
  <pageSetup horizontalDpi="300" verticalDpi="300" orientation="portrait" paperSize="9" scale="69" r:id="rId1"/>
  <headerFooter alignWithMargins="0">
    <oddFooter>&amp;L&amp;F-&amp;A&amp;CPage-&amp;P of &amp;P&amp;R&amp;D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U87"/>
  <sheetViews>
    <sheetView zoomScalePageLayoutView="0" workbookViewId="0" topLeftCell="B1">
      <selection activeCell="N26" sqref="N26"/>
    </sheetView>
  </sheetViews>
  <sheetFormatPr defaultColWidth="9.140625" defaultRowHeight="12.75"/>
  <cols>
    <col min="1" max="1" width="4.7109375" style="114" hidden="1" customWidth="1"/>
    <col min="2" max="2" width="4.7109375" style="114" customWidth="1"/>
    <col min="3" max="3" width="39.8515625" style="114" customWidth="1"/>
    <col min="4" max="4" width="15.7109375" style="114" hidden="1" customWidth="1"/>
    <col min="5" max="5" width="10.8515625" style="114" hidden="1" customWidth="1"/>
    <col min="6" max="6" width="13.28125" style="114" hidden="1" customWidth="1"/>
    <col min="7" max="7" width="13.140625" style="114" hidden="1" customWidth="1"/>
    <col min="8" max="8" width="14.00390625" style="114" hidden="1" customWidth="1"/>
    <col min="9" max="9" width="0.13671875" style="114" customWidth="1"/>
    <col min="10" max="10" width="12.00390625" style="114" hidden="1" customWidth="1"/>
    <col min="11" max="11" width="12.00390625" style="114" customWidth="1"/>
    <col min="12" max="13" width="11.8515625" style="114" customWidth="1"/>
    <col min="14" max="14" width="28.57421875" style="332" customWidth="1"/>
    <col min="15" max="16" width="11.28125" style="114" hidden="1" customWidth="1"/>
    <col min="17" max="16384" width="9.140625" style="114" customWidth="1"/>
  </cols>
  <sheetData>
    <row r="2" spans="1:14" ht="12.75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342"/>
    </row>
    <row r="3" spans="1:14" ht="15">
      <c r="A3" s="152" t="s">
        <v>1093</v>
      </c>
      <c r="B3" s="152"/>
      <c r="C3" s="432" t="s">
        <v>1398</v>
      </c>
      <c r="D3" s="79"/>
      <c r="E3" s="79"/>
      <c r="F3" s="79"/>
      <c r="G3" s="79"/>
      <c r="H3" s="79"/>
      <c r="I3" s="79"/>
      <c r="J3" s="79"/>
      <c r="K3" s="79"/>
      <c r="L3" s="79"/>
      <c r="M3" s="79"/>
      <c r="N3" s="433"/>
    </row>
    <row r="4" spans="1:14" ht="12.75">
      <c r="A4" s="79"/>
      <c r="B4" s="79"/>
      <c r="C4" s="79"/>
      <c r="D4" s="347"/>
      <c r="E4" s="347"/>
      <c r="F4" s="347"/>
      <c r="G4" s="79"/>
      <c r="H4" s="79"/>
      <c r="I4" s="79"/>
      <c r="J4" s="79"/>
      <c r="K4" s="79"/>
      <c r="L4" s="79"/>
      <c r="M4" s="79"/>
      <c r="N4" s="342"/>
    </row>
    <row r="5" spans="1:14" ht="12.75">
      <c r="A5" s="229"/>
      <c r="B5" s="229"/>
      <c r="C5" s="10" t="s">
        <v>23</v>
      </c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433" t="s">
        <v>1186</v>
      </c>
    </row>
    <row r="6" spans="1:14" ht="12.75">
      <c r="A6" s="229"/>
      <c r="B6" s="229"/>
      <c r="C6" s="10" t="s">
        <v>1351</v>
      </c>
      <c r="D6" s="347"/>
      <c r="E6" s="347"/>
      <c r="F6" s="347"/>
      <c r="G6" s="347"/>
      <c r="H6" s="347"/>
      <c r="I6" s="347"/>
      <c r="J6" s="347"/>
      <c r="K6" s="347"/>
      <c r="L6" s="347"/>
      <c r="M6" s="347"/>
      <c r="N6" s="342"/>
    </row>
    <row r="7" spans="1:14" s="205" customFormat="1" ht="12.75">
      <c r="A7" s="79"/>
      <c r="B7" s="79"/>
      <c r="C7" s="10" t="s">
        <v>1352</v>
      </c>
      <c r="D7" s="79"/>
      <c r="E7" s="79"/>
      <c r="F7" s="79"/>
      <c r="G7" s="79"/>
      <c r="H7" s="79"/>
      <c r="I7" s="79"/>
      <c r="J7" s="79"/>
      <c r="K7" s="229"/>
      <c r="L7" s="229" t="s">
        <v>185</v>
      </c>
      <c r="M7" s="229"/>
      <c r="N7" s="342"/>
    </row>
    <row r="8" spans="1:14" s="205" customFormat="1" ht="7.5" customHeight="1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348"/>
    </row>
    <row r="9" spans="1:14" ht="14.25">
      <c r="A9" s="571" t="s">
        <v>184</v>
      </c>
      <c r="B9" s="571"/>
      <c r="C9" s="571"/>
      <c r="D9" s="571"/>
      <c r="E9" s="571"/>
      <c r="F9" s="571"/>
      <c r="G9" s="571"/>
      <c r="H9" s="571"/>
      <c r="I9" s="571"/>
      <c r="J9" s="571"/>
      <c r="K9" s="571"/>
      <c r="L9" s="571"/>
      <c r="M9" s="571"/>
      <c r="N9" s="571"/>
    </row>
    <row r="10" spans="1:16" ht="12.75">
      <c r="A10" s="79"/>
      <c r="B10" s="79"/>
      <c r="C10" s="229"/>
      <c r="D10" s="229"/>
      <c r="E10" s="229"/>
      <c r="F10" s="229"/>
      <c r="G10" s="229"/>
      <c r="H10" s="79"/>
      <c r="I10" s="229"/>
      <c r="J10" s="229"/>
      <c r="K10" s="229"/>
      <c r="L10" s="229"/>
      <c r="M10" s="229"/>
      <c r="N10" s="342"/>
      <c r="O10" s="572" t="s">
        <v>136</v>
      </c>
      <c r="P10" s="574" t="s">
        <v>137</v>
      </c>
    </row>
    <row r="11" spans="1:16" ht="12.75" customHeight="1" hidden="1">
      <c r="A11" s="79"/>
      <c r="B11" s="79"/>
      <c r="C11" s="434" t="s">
        <v>264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342"/>
      <c r="O11" s="572"/>
      <c r="P11" s="574"/>
    </row>
    <row r="12" spans="1:16" ht="12.75" customHeight="1" hidden="1">
      <c r="A12" s="79"/>
      <c r="B12" s="79"/>
      <c r="C12" s="435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342"/>
      <c r="O12" s="572"/>
      <c r="P12" s="574"/>
    </row>
    <row r="13" spans="1:16" ht="12.75" customHeight="1" hidden="1">
      <c r="A13" s="79"/>
      <c r="B13" s="79"/>
      <c r="C13" s="435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342"/>
      <c r="O13" s="572"/>
      <c r="P13" s="574"/>
    </row>
    <row r="14" spans="1:16" ht="12.75" customHeight="1" hidden="1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342"/>
      <c r="O14" s="572"/>
      <c r="P14" s="574"/>
    </row>
    <row r="15" spans="1:16" ht="12.75" customHeight="1" hidden="1">
      <c r="A15" s="79"/>
      <c r="B15" s="79"/>
      <c r="C15" s="22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342"/>
      <c r="O15" s="572"/>
      <c r="P15" s="574"/>
    </row>
    <row r="16" spans="1:17" ht="24.75" customHeight="1">
      <c r="A16" s="150" t="s">
        <v>595</v>
      </c>
      <c r="B16" s="150" t="s">
        <v>443</v>
      </c>
      <c r="C16" s="230" t="s">
        <v>1104</v>
      </c>
      <c r="D16" s="150" t="s">
        <v>908</v>
      </c>
      <c r="E16" s="150" t="s">
        <v>969</v>
      </c>
      <c r="F16" s="150" t="s">
        <v>178</v>
      </c>
      <c r="G16" s="150" t="s">
        <v>436</v>
      </c>
      <c r="H16" s="150" t="s">
        <v>727</v>
      </c>
      <c r="I16" s="150" t="s">
        <v>983</v>
      </c>
      <c r="J16" s="150" t="s">
        <v>984</v>
      </c>
      <c r="K16" s="150" t="s">
        <v>884</v>
      </c>
      <c r="L16" s="150" t="s">
        <v>1307</v>
      </c>
      <c r="M16" s="150" t="s">
        <v>24</v>
      </c>
      <c r="N16" s="343" t="s">
        <v>1015</v>
      </c>
      <c r="O16" s="573"/>
      <c r="P16" s="575"/>
      <c r="Q16" s="114" t="s">
        <v>1249</v>
      </c>
    </row>
    <row r="17" spans="1:15" ht="12.75">
      <c r="A17" s="79"/>
      <c r="B17" s="79"/>
      <c r="C17" s="231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342"/>
      <c r="O17" s="58"/>
    </row>
    <row r="18" spans="1:17" ht="24">
      <c r="A18" s="79">
        <v>1</v>
      </c>
      <c r="B18" s="79">
        <v>1</v>
      </c>
      <c r="C18" s="79" t="s">
        <v>896</v>
      </c>
      <c r="D18" s="58">
        <v>35.85</v>
      </c>
      <c r="E18" s="58">
        <v>38.76</v>
      </c>
      <c r="F18" s="58">
        <v>47</v>
      </c>
      <c r="G18" s="58">
        <v>79.08</v>
      </c>
      <c r="H18" s="58">
        <v>64.94</v>
      </c>
      <c r="I18" s="58">
        <f>90.59</f>
        <v>90.59</v>
      </c>
      <c r="J18" s="58">
        <f>73.07+1.65</f>
        <v>74.72</v>
      </c>
      <c r="K18" s="58">
        <v>67.13</v>
      </c>
      <c r="L18" s="58">
        <f>(K18-1.39)*1.03</f>
        <v>67.7122</v>
      </c>
      <c r="M18" s="58">
        <f>L18*1.03</f>
        <v>69.743566</v>
      </c>
      <c r="N18" s="338" t="s">
        <v>885</v>
      </c>
      <c r="O18" s="87">
        <f>71.51+2</f>
        <v>73.51</v>
      </c>
      <c r="P18" s="157">
        <v>62.69</v>
      </c>
      <c r="Q18" s="114">
        <v>1.39</v>
      </c>
    </row>
    <row r="19" spans="1:16" ht="12.75">
      <c r="A19" s="79">
        <v>2</v>
      </c>
      <c r="B19" s="79">
        <v>2</v>
      </c>
      <c r="C19" s="79" t="s">
        <v>592</v>
      </c>
      <c r="D19" s="58" t="e">
        <f>'[4]Sheet1'!H8</f>
        <v>#REF!</v>
      </c>
      <c r="E19" s="58">
        <v>0</v>
      </c>
      <c r="F19" s="58">
        <f>E19*98.5%</f>
        <v>0</v>
      </c>
      <c r="G19" s="58">
        <v>0</v>
      </c>
      <c r="H19" s="58">
        <f>G19*1.05</f>
        <v>0</v>
      </c>
      <c r="I19" s="58">
        <f>H19*1.05</f>
        <v>0</v>
      </c>
      <c r="J19" s="58">
        <f>I19*1.05</f>
        <v>0</v>
      </c>
      <c r="K19" s="58">
        <f>J19*1.05</f>
        <v>0</v>
      </c>
      <c r="L19" s="58">
        <f>K19*1.05</f>
        <v>0</v>
      </c>
      <c r="M19" s="58"/>
      <c r="N19" s="342"/>
      <c r="O19" s="87">
        <f>N19*1.05</f>
        <v>0</v>
      </c>
      <c r="P19" s="157"/>
    </row>
    <row r="20" spans="1:16" ht="51.75" customHeight="1">
      <c r="A20" s="79">
        <v>3</v>
      </c>
      <c r="B20" s="79">
        <v>3</v>
      </c>
      <c r="C20" s="79" t="s">
        <v>593</v>
      </c>
      <c r="D20" s="58">
        <v>23.98</v>
      </c>
      <c r="E20" s="58">
        <v>27.13</v>
      </c>
      <c r="F20" s="58">
        <v>15.98</v>
      </c>
      <c r="G20" s="58">
        <v>18.06</v>
      </c>
      <c r="H20" s="58">
        <v>17.41</v>
      </c>
      <c r="I20" s="58">
        <v>13.51</v>
      </c>
      <c r="J20" s="58">
        <f>17.48-5.44</f>
        <v>12.04</v>
      </c>
      <c r="K20" s="58">
        <v>32.83</v>
      </c>
      <c r="L20" s="58">
        <f>L18*72%</f>
        <v>48.752784</v>
      </c>
      <c r="M20" s="58">
        <f>M18*86%</f>
        <v>59.97946676</v>
      </c>
      <c r="N20" s="338" t="s">
        <v>630</v>
      </c>
      <c r="O20" s="87">
        <f>44.54+11.44</f>
        <v>55.98</v>
      </c>
      <c r="P20" s="157">
        <v>45.15</v>
      </c>
    </row>
    <row r="21" spans="1:17" ht="12.75">
      <c r="A21" s="79">
        <v>4</v>
      </c>
      <c r="B21" s="79">
        <v>4</v>
      </c>
      <c r="C21" s="79" t="s">
        <v>1106</v>
      </c>
      <c r="D21" s="58">
        <v>0.56</v>
      </c>
      <c r="E21" s="58">
        <v>0.35</v>
      </c>
      <c r="F21" s="58">
        <v>0.37</v>
      </c>
      <c r="G21" s="58">
        <v>0.45</v>
      </c>
      <c r="H21" s="58">
        <v>0.57</v>
      </c>
      <c r="I21" s="58">
        <v>0.55</v>
      </c>
      <c r="J21" s="58">
        <v>0.5</v>
      </c>
      <c r="K21" s="58">
        <v>0.59</v>
      </c>
      <c r="L21" s="58">
        <f>(K21-0.07)*1.15</f>
        <v>0.598</v>
      </c>
      <c r="M21" s="58">
        <f>L21*1.15</f>
        <v>0.6876999999999999</v>
      </c>
      <c r="N21" s="342" t="s">
        <v>1333</v>
      </c>
      <c r="O21" s="87">
        <v>0.59</v>
      </c>
      <c r="P21" s="157">
        <v>0.66</v>
      </c>
      <c r="Q21" s="114">
        <v>0.07</v>
      </c>
    </row>
    <row r="22" spans="1:16" ht="12.75">
      <c r="A22" s="79">
        <v>5</v>
      </c>
      <c r="B22" s="79">
        <v>5</v>
      </c>
      <c r="C22" s="79" t="s">
        <v>1107</v>
      </c>
      <c r="D22" s="58" t="str">
        <f>'[4]Sheet1'!H11</f>
        <v>Name Of Premises/Building/Village</v>
      </c>
      <c r="E22" s="58"/>
      <c r="F22" s="58">
        <v>0</v>
      </c>
      <c r="G22" s="58">
        <v>0.54</v>
      </c>
      <c r="H22" s="58">
        <v>0.35</v>
      </c>
      <c r="I22" s="58">
        <v>0.1</v>
      </c>
      <c r="J22" s="58">
        <v>0.1</v>
      </c>
      <c r="K22" s="58">
        <v>0.0014936</v>
      </c>
      <c r="L22" s="58">
        <v>0.01</v>
      </c>
      <c r="M22" s="58">
        <f>L22*1.15</f>
        <v>0.0115</v>
      </c>
      <c r="N22" s="342" t="s">
        <v>1333</v>
      </c>
      <c r="O22" s="87">
        <v>0.01</v>
      </c>
      <c r="P22" s="419">
        <v>0.13</v>
      </c>
    </row>
    <row r="23" spans="1:18" ht="25.5" customHeight="1" hidden="1">
      <c r="A23" s="79"/>
      <c r="B23" s="79"/>
      <c r="C23" s="277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346"/>
      <c r="O23" s="87"/>
      <c r="P23" s="157"/>
      <c r="R23" s="205"/>
    </row>
    <row r="24" spans="1:18" ht="30.75" customHeight="1">
      <c r="A24" s="79"/>
      <c r="B24" s="79">
        <v>7</v>
      </c>
      <c r="C24" s="277" t="s">
        <v>745</v>
      </c>
      <c r="D24" s="58"/>
      <c r="E24" s="58"/>
      <c r="F24" s="58"/>
      <c r="G24" s="58"/>
      <c r="H24" s="58"/>
      <c r="I24" s="58"/>
      <c r="J24" s="58"/>
      <c r="K24" s="58"/>
      <c r="L24" s="58"/>
      <c r="M24" s="58">
        <v>14.09</v>
      </c>
      <c r="N24" s="346" t="s">
        <v>527</v>
      </c>
      <c r="O24" s="87"/>
      <c r="P24" s="151">
        <v>2.8</v>
      </c>
      <c r="R24" s="205"/>
    </row>
    <row r="25" spans="1:21" ht="26.25" customHeight="1">
      <c r="A25" s="79"/>
      <c r="B25" s="79">
        <v>8</v>
      </c>
      <c r="C25" s="277" t="s">
        <v>1317</v>
      </c>
      <c r="D25" s="58"/>
      <c r="E25" s="58"/>
      <c r="F25" s="58"/>
      <c r="G25" s="58"/>
      <c r="H25" s="58"/>
      <c r="I25" s="58"/>
      <c r="J25" s="58"/>
      <c r="K25" s="58"/>
      <c r="L25" s="58"/>
      <c r="M25" s="58">
        <v>14</v>
      </c>
      <c r="N25" s="346" t="s">
        <v>450</v>
      </c>
      <c r="O25" s="87"/>
      <c r="P25" s="151">
        <v>0</v>
      </c>
      <c r="R25" s="205"/>
      <c r="S25" s="114">
        <v>65</v>
      </c>
      <c r="T25" s="114">
        <v>3</v>
      </c>
      <c r="U25" s="114">
        <f>S25*T25</f>
        <v>195</v>
      </c>
    </row>
    <row r="26" spans="1:21" ht="12.75">
      <c r="A26" s="79">
        <v>6</v>
      </c>
      <c r="B26" s="79">
        <v>9</v>
      </c>
      <c r="C26" s="232" t="s">
        <v>1318</v>
      </c>
      <c r="D26" s="43" t="e">
        <f>SUM(D18:D22)</f>
        <v>#REF!</v>
      </c>
      <c r="E26" s="43">
        <f>SUM(E18:E22)</f>
        <v>66.24</v>
      </c>
      <c r="F26" s="43">
        <f>SUM(F18:F22)</f>
        <v>63.35</v>
      </c>
      <c r="G26" s="43">
        <f>SUM(G18:G22)</f>
        <v>98.13000000000001</v>
      </c>
      <c r="H26" s="43">
        <f>SUM(H18:H23)</f>
        <v>83.26999999999998</v>
      </c>
      <c r="I26" s="43">
        <f>SUM(I18:I23)</f>
        <v>104.75</v>
      </c>
      <c r="J26" s="43">
        <f>SUM(J18:J23)</f>
        <v>87.35999999999999</v>
      </c>
      <c r="K26" s="43">
        <f>SUM(K18:K23)</f>
        <v>100.5514936</v>
      </c>
      <c r="L26" s="43">
        <f>SUM(L18:L25)</f>
        <v>117.07298399999999</v>
      </c>
      <c r="M26" s="43">
        <f>SUM(M18:M25)</f>
        <v>158.51223276000002</v>
      </c>
      <c r="N26" s="344" t="s">
        <v>1122</v>
      </c>
      <c r="O26" s="64">
        <f>SUM(O18:O25)</f>
        <v>130.09</v>
      </c>
      <c r="P26" s="64">
        <f>SUM(P18:P25)</f>
        <v>111.42999999999999</v>
      </c>
      <c r="S26" s="114">
        <v>72</v>
      </c>
      <c r="T26" s="114">
        <v>6</v>
      </c>
      <c r="U26" s="114">
        <f>S26*T26</f>
        <v>432</v>
      </c>
    </row>
    <row r="27" spans="1:21" ht="9" customHeight="1">
      <c r="A27" s="79"/>
      <c r="B27" s="79"/>
      <c r="C27" s="79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342"/>
      <c r="O27" s="87"/>
      <c r="P27" s="157"/>
      <c r="S27" s="114">
        <v>79</v>
      </c>
      <c r="T27" s="114">
        <v>3</v>
      </c>
      <c r="U27" s="114">
        <f>S27*T27</f>
        <v>237</v>
      </c>
    </row>
    <row r="28" spans="1:21" ht="12.75">
      <c r="A28" s="79"/>
      <c r="B28" s="79"/>
      <c r="C28" s="229" t="s">
        <v>1108</v>
      </c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342"/>
      <c r="O28" s="87"/>
      <c r="P28" s="157"/>
      <c r="U28" s="114">
        <f>U27+U26+U25</f>
        <v>864</v>
      </c>
    </row>
    <row r="29" spans="1:21" ht="24">
      <c r="A29" s="79">
        <v>7</v>
      </c>
      <c r="B29" s="79">
        <v>10</v>
      </c>
      <c r="C29" s="79" t="s">
        <v>484</v>
      </c>
      <c r="D29" s="58" t="str">
        <f>'[4]Sheet1'!H14</f>
        <v>Area/Locality</v>
      </c>
      <c r="E29" s="58">
        <v>1.49</v>
      </c>
      <c r="F29" s="58">
        <v>1.62</v>
      </c>
      <c r="G29" s="58">
        <v>1.98</v>
      </c>
      <c r="H29" s="58">
        <f>2.45+0.02</f>
        <v>2.47</v>
      </c>
      <c r="I29" s="58">
        <v>3.56</v>
      </c>
      <c r="J29" s="58">
        <v>3.39</v>
      </c>
      <c r="K29" s="58">
        <v>3.55</v>
      </c>
      <c r="L29" s="58">
        <f>(L18-0.07)*5%</f>
        <v>3.3821100000000004</v>
      </c>
      <c r="M29" s="58">
        <f>M18*5%</f>
        <v>3.4871783</v>
      </c>
      <c r="N29" s="346" t="s">
        <v>729</v>
      </c>
      <c r="O29" s="87">
        <f>3.9+0.06</f>
        <v>3.96</v>
      </c>
      <c r="P29" s="157">
        <v>3.13</v>
      </c>
      <c r="Q29" s="114">
        <v>0.07</v>
      </c>
      <c r="U29" s="114">
        <f>U28/12</f>
        <v>72</v>
      </c>
    </row>
    <row r="30" spans="1:16" ht="12.75">
      <c r="A30" s="79">
        <v>8</v>
      </c>
      <c r="B30" s="79">
        <v>11</v>
      </c>
      <c r="C30" s="79" t="s">
        <v>33</v>
      </c>
      <c r="D30" s="58" t="e">
        <f>'[4]Sheet1'!H15</f>
        <v>#REF!</v>
      </c>
      <c r="E30" s="58"/>
      <c r="F30" s="58">
        <v>0.08</v>
      </c>
      <c r="G30" s="58">
        <v>0.22</v>
      </c>
      <c r="H30" s="58">
        <v>0.33</v>
      </c>
      <c r="I30" s="58">
        <v>0.25</v>
      </c>
      <c r="J30" s="58">
        <v>0.1</v>
      </c>
      <c r="K30" s="58">
        <v>0.19</v>
      </c>
      <c r="L30" s="58">
        <v>0.59</v>
      </c>
      <c r="M30" s="58">
        <v>0.59</v>
      </c>
      <c r="N30" s="342" t="s">
        <v>1198</v>
      </c>
      <c r="O30" s="87">
        <v>0.59</v>
      </c>
      <c r="P30" s="419">
        <v>0.77</v>
      </c>
    </row>
    <row r="31" spans="1:21" ht="28.5" customHeight="1">
      <c r="A31" s="79">
        <v>9</v>
      </c>
      <c r="B31" s="79">
        <v>12</v>
      </c>
      <c r="C31" s="79" t="s">
        <v>710</v>
      </c>
      <c r="D31" s="58" t="e">
        <f>'[4]Sheet1'!H16</f>
        <v>#REF!</v>
      </c>
      <c r="E31" s="58">
        <v>4.11</v>
      </c>
      <c r="F31" s="58">
        <v>5.4</v>
      </c>
      <c r="G31" s="58">
        <v>5.27</v>
      </c>
      <c r="H31" s="58">
        <v>6.93</v>
      </c>
      <c r="I31" s="58">
        <v>9.75</v>
      </c>
      <c r="J31" s="58">
        <v>9.14</v>
      </c>
      <c r="K31" s="58">
        <v>8.2</v>
      </c>
      <c r="L31" s="58">
        <f>(L18-0.19)*20%</f>
        <v>13.50444</v>
      </c>
      <c r="M31" s="58">
        <f>M18*20%</f>
        <v>13.9487132</v>
      </c>
      <c r="N31" s="338" t="s">
        <v>728</v>
      </c>
      <c r="O31" s="87">
        <v>9.78</v>
      </c>
      <c r="P31" s="157">
        <v>9.4</v>
      </c>
      <c r="Q31" s="114">
        <v>0.19</v>
      </c>
      <c r="S31" s="114">
        <v>79</v>
      </c>
      <c r="T31" s="205">
        <v>3</v>
      </c>
      <c r="U31" s="114">
        <f>S31*T31</f>
        <v>237</v>
      </c>
    </row>
    <row r="32" spans="1:21" ht="15" customHeight="1">
      <c r="A32" s="79">
        <v>10</v>
      </c>
      <c r="B32" s="79">
        <v>13</v>
      </c>
      <c r="C32" s="79" t="s">
        <v>94</v>
      </c>
      <c r="D32" s="58" t="str">
        <f>'[4]Sheet1'!H17</f>
        <v>State</v>
      </c>
      <c r="E32" s="58"/>
      <c r="F32" s="58">
        <f>E32*98.5%</f>
        <v>0</v>
      </c>
      <c r="G32" s="58">
        <v>0.24</v>
      </c>
      <c r="H32" s="58">
        <v>0.34</v>
      </c>
      <c r="I32" s="58">
        <v>0.37</v>
      </c>
      <c r="J32" s="58">
        <v>0.32</v>
      </c>
      <c r="K32" s="58">
        <v>0.18</v>
      </c>
      <c r="L32" s="58">
        <f>K32*1.2</f>
        <v>0.216</v>
      </c>
      <c r="M32" s="58">
        <f>L32*1.2</f>
        <v>0.2592</v>
      </c>
      <c r="N32" s="342" t="s">
        <v>34</v>
      </c>
      <c r="O32" s="87">
        <v>0.45</v>
      </c>
      <c r="P32" s="151">
        <v>0.46</v>
      </c>
      <c r="S32" s="114">
        <v>86</v>
      </c>
      <c r="T32" s="205">
        <v>6</v>
      </c>
      <c r="U32" s="114">
        <f>S32*T32</f>
        <v>516</v>
      </c>
    </row>
    <row r="33" spans="1:21" ht="48" customHeight="1">
      <c r="A33" s="79">
        <v>11</v>
      </c>
      <c r="B33" s="79">
        <v>14</v>
      </c>
      <c r="C33" s="79" t="s">
        <v>1375</v>
      </c>
      <c r="D33" s="58" t="str">
        <f>'[4]Sheet1'!H18</f>
        <v>ORISSA</v>
      </c>
      <c r="E33" s="58">
        <v>0</v>
      </c>
      <c r="F33" s="58">
        <v>0.06</v>
      </c>
      <c r="G33" s="58">
        <v>0.07</v>
      </c>
      <c r="H33" s="58">
        <v>0.01</v>
      </c>
      <c r="I33" s="58">
        <v>0</v>
      </c>
      <c r="J33" s="58">
        <f>I33*1.2</f>
        <v>0</v>
      </c>
      <c r="K33" s="58">
        <v>0</v>
      </c>
      <c r="L33" s="58"/>
      <c r="M33" s="58">
        <v>1.06</v>
      </c>
      <c r="N33" s="338" t="s">
        <v>528</v>
      </c>
      <c r="O33" s="87"/>
      <c r="P33" s="151">
        <v>3.39</v>
      </c>
      <c r="S33" s="114">
        <v>93</v>
      </c>
      <c r="T33" s="114">
        <v>3</v>
      </c>
      <c r="U33" s="114">
        <f>S33*T33</f>
        <v>279</v>
      </c>
    </row>
    <row r="34" spans="1:21" ht="36">
      <c r="A34" s="79"/>
      <c r="B34" s="79">
        <v>15</v>
      </c>
      <c r="C34" s="79" t="s">
        <v>1376</v>
      </c>
      <c r="D34" s="58"/>
      <c r="E34" s="58"/>
      <c r="F34" s="58"/>
      <c r="G34" s="58"/>
      <c r="H34" s="58"/>
      <c r="I34" s="58"/>
      <c r="J34" s="58"/>
      <c r="K34" s="58"/>
      <c r="L34" s="58"/>
      <c r="M34" s="58">
        <f>1.08+0.54</f>
        <v>1.62</v>
      </c>
      <c r="N34" s="338" t="s">
        <v>529</v>
      </c>
      <c r="O34" s="87"/>
      <c r="P34" s="151">
        <v>1.9</v>
      </c>
      <c r="U34" s="114">
        <f>U31+U32+U33</f>
        <v>1032</v>
      </c>
    </row>
    <row r="35" spans="1:21" ht="14.25" customHeight="1">
      <c r="A35" s="79">
        <v>12</v>
      </c>
      <c r="B35" s="79">
        <v>16</v>
      </c>
      <c r="C35" s="79" t="s">
        <v>1109</v>
      </c>
      <c r="D35" s="58" t="e">
        <f>'[4]Sheet1'!H19</f>
        <v>#REF!</v>
      </c>
      <c r="E35" s="58">
        <v>0.01</v>
      </c>
      <c r="F35" s="58">
        <f>E35*98.5%</f>
        <v>0.00985</v>
      </c>
      <c r="G35" s="58">
        <v>0.01</v>
      </c>
      <c r="H35" s="58">
        <v>0</v>
      </c>
      <c r="I35" s="58">
        <v>0</v>
      </c>
      <c r="J35" s="58">
        <v>0</v>
      </c>
      <c r="K35" s="58"/>
      <c r="L35" s="58">
        <v>0.01</v>
      </c>
      <c r="M35" s="58">
        <v>0.01</v>
      </c>
      <c r="N35" s="342" t="s">
        <v>1198</v>
      </c>
      <c r="O35" s="87">
        <v>0.01</v>
      </c>
      <c r="P35" s="419">
        <v>0.08</v>
      </c>
      <c r="U35" s="114">
        <f>U34/12</f>
        <v>86</v>
      </c>
    </row>
    <row r="36" spans="1:16" ht="24.75" customHeight="1">
      <c r="A36" s="79">
        <v>13</v>
      </c>
      <c r="B36" s="79">
        <v>17</v>
      </c>
      <c r="C36" s="76" t="s">
        <v>481</v>
      </c>
      <c r="D36" s="58" t="e">
        <f>'[4]Sheet1'!H20</f>
        <v>#REF!</v>
      </c>
      <c r="E36" s="58">
        <v>0.04</v>
      </c>
      <c r="F36" s="58">
        <v>0.03</v>
      </c>
      <c r="G36" s="58">
        <v>0.01</v>
      </c>
      <c r="H36" s="58">
        <v>0.03</v>
      </c>
      <c r="I36" s="58">
        <v>0</v>
      </c>
      <c r="J36" s="58">
        <v>0.04</v>
      </c>
      <c r="K36" s="58"/>
      <c r="L36" s="58">
        <v>0.02</v>
      </c>
      <c r="M36" s="58">
        <f>L36*1.2</f>
        <v>0.024</v>
      </c>
      <c r="N36" s="348" t="s">
        <v>1092</v>
      </c>
      <c r="O36" s="87">
        <v>0.02</v>
      </c>
      <c r="P36" s="151">
        <v>0.06</v>
      </c>
    </row>
    <row r="37" spans="1:16" ht="12.75">
      <c r="A37" s="79">
        <v>14</v>
      </c>
      <c r="B37" s="79">
        <v>18</v>
      </c>
      <c r="C37" s="79" t="s">
        <v>1111</v>
      </c>
      <c r="D37" s="58" t="e">
        <f>'[4]Sheet1'!H21</f>
        <v>#REF!</v>
      </c>
      <c r="E37" s="58">
        <v>0</v>
      </c>
      <c r="F37" s="58">
        <v>0.57</v>
      </c>
      <c r="G37" s="58">
        <v>0.84</v>
      </c>
      <c r="H37" s="58">
        <v>3.22</v>
      </c>
      <c r="I37" s="58">
        <v>0.01</v>
      </c>
      <c r="J37" s="58">
        <v>0.01</v>
      </c>
      <c r="K37" s="58">
        <v>0.04</v>
      </c>
      <c r="L37" s="58">
        <v>0.01</v>
      </c>
      <c r="M37" s="58">
        <v>0.01</v>
      </c>
      <c r="N37" s="342" t="s">
        <v>1198</v>
      </c>
      <c r="O37" s="87">
        <v>0.01</v>
      </c>
      <c r="P37" s="419">
        <v>0</v>
      </c>
    </row>
    <row r="38" spans="1:16" ht="12.75">
      <c r="A38" s="79">
        <v>15</v>
      </c>
      <c r="B38" s="79">
        <v>19</v>
      </c>
      <c r="C38" s="79" t="s">
        <v>95</v>
      </c>
      <c r="D38" s="58"/>
      <c r="E38" s="58"/>
      <c r="F38" s="58"/>
      <c r="G38" s="58">
        <v>0.27</v>
      </c>
      <c r="H38" s="58">
        <v>0.2</v>
      </c>
      <c r="I38" s="58">
        <v>0.21</v>
      </c>
      <c r="J38" s="58">
        <v>0.21</v>
      </c>
      <c r="K38" s="58">
        <v>1.27</v>
      </c>
      <c r="L38" s="58">
        <v>1.55</v>
      </c>
      <c r="M38" s="58">
        <v>1.39</v>
      </c>
      <c r="N38" s="342" t="s">
        <v>746</v>
      </c>
      <c r="O38" s="87">
        <v>1.55</v>
      </c>
      <c r="P38" s="419">
        <v>0.33</v>
      </c>
    </row>
    <row r="39" spans="1:16" ht="12.75">
      <c r="A39" s="79">
        <v>16</v>
      </c>
      <c r="B39" s="79">
        <v>20</v>
      </c>
      <c r="C39" s="79" t="s">
        <v>1113</v>
      </c>
      <c r="D39" s="58">
        <v>0.3</v>
      </c>
      <c r="E39" s="58">
        <v>0.21</v>
      </c>
      <c r="F39" s="58">
        <v>0.31</v>
      </c>
      <c r="G39" s="58">
        <v>0.2</v>
      </c>
      <c r="H39" s="58">
        <v>0.2</v>
      </c>
      <c r="I39" s="58">
        <v>0.19</v>
      </c>
      <c r="J39" s="58">
        <v>0.09</v>
      </c>
      <c r="K39" s="58">
        <v>0.86</v>
      </c>
      <c r="L39" s="58">
        <f>K39*1.2</f>
        <v>1.032</v>
      </c>
      <c r="M39" s="58">
        <f>L39*1.2</f>
        <v>1.2384</v>
      </c>
      <c r="N39" s="342" t="s">
        <v>34</v>
      </c>
      <c r="O39" s="87">
        <f>1</f>
        <v>1</v>
      </c>
      <c r="P39" s="420">
        <v>0.13</v>
      </c>
    </row>
    <row r="40" spans="1:16" ht="12.75">
      <c r="A40" s="79">
        <v>17</v>
      </c>
      <c r="B40" s="79">
        <v>21</v>
      </c>
      <c r="C40" s="232" t="s">
        <v>1019</v>
      </c>
      <c r="D40" s="43" t="e">
        <f aca="true" t="shared" si="0" ref="D40:M40">SUM(D29:D39)</f>
        <v>#REF!</v>
      </c>
      <c r="E40" s="43">
        <f t="shared" si="0"/>
        <v>5.86</v>
      </c>
      <c r="F40" s="43">
        <f t="shared" si="0"/>
        <v>8.07985</v>
      </c>
      <c r="G40" s="43">
        <f t="shared" si="0"/>
        <v>9.11</v>
      </c>
      <c r="H40" s="43">
        <f t="shared" si="0"/>
        <v>13.729999999999999</v>
      </c>
      <c r="I40" s="43">
        <f t="shared" si="0"/>
        <v>14.34</v>
      </c>
      <c r="J40" s="43">
        <f t="shared" si="0"/>
        <v>13.3</v>
      </c>
      <c r="K40" s="43">
        <f t="shared" si="0"/>
        <v>14.289999999999997</v>
      </c>
      <c r="L40" s="43">
        <f t="shared" si="0"/>
        <v>20.314550000000004</v>
      </c>
      <c r="M40" s="43">
        <f t="shared" si="0"/>
        <v>23.637491500000003</v>
      </c>
      <c r="N40" s="342"/>
      <c r="O40" s="64">
        <f>SUM(O29:O39)</f>
        <v>17.369999999999997</v>
      </c>
      <c r="P40" s="64">
        <f>SUM(P29:P39)</f>
        <v>19.649999999999995</v>
      </c>
    </row>
    <row r="41" spans="1:16" ht="25.5">
      <c r="A41" s="79">
        <v>18</v>
      </c>
      <c r="B41" s="79">
        <v>22</v>
      </c>
      <c r="C41" s="277" t="s">
        <v>1008</v>
      </c>
      <c r="D41" s="58" t="e">
        <f>'[4]Sheet1'!H25</f>
        <v>#REF!</v>
      </c>
      <c r="E41" s="58">
        <v>0.6</v>
      </c>
      <c r="F41" s="43">
        <v>0.54</v>
      </c>
      <c r="G41" s="43">
        <v>0.62</v>
      </c>
      <c r="H41" s="58">
        <v>0.69</v>
      </c>
      <c r="I41" s="58">
        <v>0.68</v>
      </c>
      <c r="J41" s="58">
        <v>0.67</v>
      </c>
      <c r="K41" s="58">
        <f>1.64-K32-K38</f>
        <v>0.18999999999999995</v>
      </c>
      <c r="L41" s="58">
        <f>0.07+0.12+0.01</f>
        <v>0.2</v>
      </c>
      <c r="M41" s="58">
        <v>0.2</v>
      </c>
      <c r="N41" s="342" t="s">
        <v>1198</v>
      </c>
      <c r="O41" s="87">
        <f>0.07+0.12+0.01+1.45</f>
        <v>1.65</v>
      </c>
      <c r="P41" s="157">
        <v>3.2</v>
      </c>
    </row>
    <row r="42" spans="1:16" ht="12.75">
      <c r="A42" s="79">
        <v>19</v>
      </c>
      <c r="B42" s="79">
        <v>23</v>
      </c>
      <c r="C42" s="79" t="s">
        <v>1114</v>
      </c>
      <c r="D42" s="58"/>
      <c r="E42" s="58"/>
      <c r="F42" s="43"/>
      <c r="G42" s="58"/>
      <c r="H42" s="58"/>
      <c r="I42" s="58"/>
      <c r="J42" s="58"/>
      <c r="K42" s="58"/>
      <c r="L42" s="58"/>
      <c r="M42" s="58"/>
      <c r="N42" s="342"/>
      <c r="O42" s="87"/>
      <c r="P42" s="157"/>
    </row>
    <row r="43" spans="1:16" ht="12.75">
      <c r="A43" s="79">
        <v>20</v>
      </c>
      <c r="B43" s="79">
        <v>24</v>
      </c>
      <c r="C43" s="79" t="s">
        <v>578</v>
      </c>
      <c r="D43" s="58"/>
      <c r="E43" s="58"/>
      <c r="F43" s="43">
        <v>29.06</v>
      </c>
      <c r="G43" s="58">
        <v>79.83</v>
      </c>
      <c r="H43" s="58">
        <f>3898107210/10^7</f>
        <v>389.810721</v>
      </c>
      <c r="I43" s="58">
        <v>109.14</v>
      </c>
      <c r="J43" s="58">
        <v>117.27</v>
      </c>
      <c r="K43" s="58">
        <v>163.9</v>
      </c>
      <c r="L43" s="58">
        <v>100.88</v>
      </c>
      <c r="M43" s="58">
        <f>426.26/3-0.01</f>
        <v>142.07666666666668</v>
      </c>
      <c r="N43" s="342" t="s">
        <v>266</v>
      </c>
      <c r="O43" s="87">
        <v>85.28</v>
      </c>
      <c r="P43" s="157">
        <v>100.88</v>
      </c>
    </row>
    <row r="44" spans="1:16" ht="12.75">
      <c r="A44" s="79">
        <v>21</v>
      </c>
      <c r="B44" s="79">
        <v>25</v>
      </c>
      <c r="C44" s="79" t="s">
        <v>579</v>
      </c>
      <c r="D44" s="58"/>
      <c r="E44" s="58"/>
      <c r="F44" s="43">
        <v>9.1</v>
      </c>
      <c r="G44" s="58">
        <v>19.21</v>
      </c>
      <c r="H44" s="58">
        <v>8.91</v>
      </c>
      <c r="I44" s="58">
        <v>12.37</v>
      </c>
      <c r="J44" s="58">
        <v>11.54</v>
      </c>
      <c r="K44" s="58">
        <v>0.14</v>
      </c>
      <c r="L44" s="58">
        <v>13.1</v>
      </c>
      <c r="M44" s="58"/>
      <c r="N44" s="342" t="s">
        <v>266</v>
      </c>
      <c r="O44" s="87">
        <v>0</v>
      </c>
      <c r="P44" s="157">
        <v>13.1</v>
      </c>
    </row>
    <row r="45" spans="1:16" ht="48">
      <c r="A45" s="79">
        <v>22</v>
      </c>
      <c r="B45" s="79">
        <v>26</v>
      </c>
      <c r="C45" s="79" t="s">
        <v>1401</v>
      </c>
      <c r="D45" s="58"/>
      <c r="E45" s="58"/>
      <c r="F45" s="43">
        <v>0.07</v>
      </c>
      <c r="G45" s="58">
        <v>0</v>
      </c>
      <c r="H45" s="58">
        <v>0</v>
      </c>
      <c r="I45" s="58">
        <v>0</v>
      </c>
      <c r="J45" s="58">
        <v>0</v>
      </c>
      <c r="K45" s="58"/>
      <c r="L45" s="58">
        <v>1</v>
      </c>
      <c r="M45" s="58">
        <v>1.3</v>
      </c>
      <c r="N45" s="338" t="s">
        <v>349</v>
      </c>
      <c r="O45" s="87">
        <v>0.45</v>
      </c>
      <c r="P45" s="157">
        <v>1</v>
      </c>
    </row>
    <row r="46" spans="1:16" ht="12.75">
      <c r="A46" s="79">
        <v>23</v>
      </c>
      <c r="B46" s="79">
        <v>27</v>
      </c>
      <c r="C46" s="79" t="s">
        <v>581</v>
      </c>
      <c r="D46" s="58"/>
      <c r="E46" s="58"/>
      <c r="F46" s="43">
        <v>3.5</v>
      </c>
      <c r="G46" s="58">
        <v>3.76</v>
      </c>
      <c r="H46" s="58">
        <v>3.86</v>
      </c>
      <c r="I46" s="58">
        <v>61.42</v>
      </c>
      <c r="J46" s="58">
        <v>13.17</v>
      </c>
      <c r="K46" s="58">
        <v>7.52</v>
      </c>
      <c r="L46" s="58">
        <v>6.62</v>
      </c>
      <c r="M46" s="58">
        <f>2.25/3</f>
        <v>0.75</v>
      </c>
      <c r="N46" s="342" t="s">
        <v>266</v>
      </c>
      <c r="O46" s="87"/>
      <c r="P46" s="157">
        <v>6.62</v>
      </c>
    </row>
    <row r="47" spans="1:16" ht="38.25" customHeight="1">
      <c r="A47" s="79"/>
      <c r="B47" s="79">
        <v>28</v>
      </c>
      <c r="C47" s="76" t="s">
        <v>1402</v>
      </c>
      <c r="D47" s="58"/>
      <c r="E47" s="58"/>
      <c r="F47" s="43"/>
      <c r="G47" s="58"/>
      <c r="H47" s="58"/>
      <c r="I47" s="58"/>
      <c r="J47" s="58"/>
      <c r="K47" s="58"/>
      <c r="L47" s="58">
        <v>8.2</v>
      </c>
      <c r="M47" s="58"/>
      <c r="N47" s="342" t="s">
        <v>266</v>
      </c>
      <c r="O47" s="87"/>
      <c r="P47" s="157">
        <v>8.2</v>
      </c>
    </row>
    <row r="48" spans="1:16" ht="12.75">
      <c r="A48" s="79">
        <v>24</v>
      </c>
      <c r="B48" s="79">
        <v>29</v>
      </c>
      <c r="C48" s="79" t="s">
        <v>1020</v>
      </c>
      <c r="D48" s="58">
        <f>89.64-0.49</f>
        <v>89.15</v>
      </c>
      <c r="E48" s="58">
        <v>40.62</v>
      </c>
      <c r="F48" s="58">
        <f>F43+F44+F45+F46</f>
        <v>41.73</v>
      </c>
      <c r="G48" s="43">
        <f>G43+G44+G45+G46</f>
        <v>102.8</v>
      </c>
      <c r="H48" s="58">
        <f>H43+H44+H45+H46</f>
        <v>402.58072100000004</v>
      </c>
      <c r="I48" s="43">
        <f>I43+I44+I45+I46</f>
        <v>182.93</v>
      </c>
      <c r="J48" s="43">
        <f>J43+J44+J45+J46+J47</f>
        <v>141.98</v>
      </c>
      <c r="K48" s="43">
        <f>K43+K44+K45+K46+K47</f>
        <v>171.56</v>
      </c>
      <c r="L48" s="43">
        <f>L43+L44+L45+L46+L47</f>
        <v>129.79999999999998</v>
      </c>
      <c r="M48" s="43">
        <f>M43+M44+M45+M46+M47</f>
        <v>144.1266666666667</v>
      </c>
      <c r="N48" s="342"/>
      <c r="O48" s="64">
        <f>O43+O44+O45+O46+O47</f>
        <v>85.73</v>
      </c>
      <c r="P48" s="157"/>
    </row>
    <row r="49" spans="1:16" ht="31.5" customHeight="1">
      <c r="A49" s="79"/>
      <c r="B49" s="79">
        <v>30</v>
      </c>
      <c r="C49" s="277" t="s">
        <v>1316</v>
      </c>
      <c r="D49" s="58"/>
      <c r="E49" s="58"/>
      <c r="F49" s="58"/>
      <c r="G49" s="43"/>
      <c r="H49" s="58"/>
      <c r="I49" s="58"/>
      <c r="J49" s="58"/>
      <c r="K49" s="58">
        <v>0</v>
      </c>
      <c r="L49" s="58">
        <v>10</v>
      </c>
      <c r="M49" s="58">
        <v>23</v>
      </c>
      <c r="N49" s="342"/>
      <c r="O49" s="87"/>
      <c r="P49" s="157">
        <v>10</v>
      </c>
    </row>
    <row r="50" spans="1:16" ht="12.75">
      <c r="A50" s="79">
        <v>25</v>
      </c>
      <c r="B50" s="79">
        <v>31</v>
      </c>
      <c r="C50" s="229" t="s">
        <v>1319</v>
      </c>
      <c r="D50" s="43" t="e">
        <f aca="true" t="shared" si="1" ref="D50:J50">D26+D40+D41+D48</f>
        <v>#REF!</v>
      </c>
      <c r="E50" s="43">
        <f t="shared" si="1"/>
        <v>113.32</v>
      </c>
      <c r="F50" s="43">
        <f t="shared" si="1"/>
        <v>113.69985</v>
      </c>
      <c r="G50" s="43">
        <f t="shared" si="1"/>
        <v>210.66000000000003</v>
      </c>
      <c r="H50" s="43">
        <f t="shared" si="1"/>
        <v>500.27072100000004</v>
      </c>
      <c r="I50" s="43">
        <f t="shared" si="1"/>
        <v>302.70000000000005</v>
      </c>
      <c r="J50" s="43">
        <f t="shared" si="1"/>
        <v>243.30999999999997</v>
      </c>
      <c r="K50" s="43">
        <f>K26+K40+K41+K48+K49</f>
        <v>286.5914936</v>
      </c>
      <c r="L50" s="43">
        <f>L26+L40+L41+L48+L49</f>
        <v>277.38753399999996</v>
      </c>
      <c r="M50" s="43">
        <f>M26+M40+M41+M48+M49</f>
        <v>349.4763909266667</v>
      </c>
      <c r="N50" s="342"/>
      <c r="O50" s="64">
        <f>O26+O40+O41+O48+O49</f>
        <v>234.84000000000003</v>
      </c>
      <c r="P50" s="64">
        <f>SUM(P41:P49)+P40+P26</f>
        <v>274.08</v>
      </c>
    </row>
    <row r="51" spans="1:16" ht="12.75">
      <c r="A51" s="79"/>
      <c r="B51" s="79">
        <v>32</v>
      </c>
      <c r="C51" s="79" t="s">
        <v>1045</v>
      </c>
      <c r="D51" s="58" t="e">
        <f>'[4]Sheet1'!H28</f>
        <v>#REF!</v>
      </c>
      <c r="E51" s="58">
        <v>1.1</v>
      </c>
      <c r="F51" s="58">
        <v>8.88</v>
      </c>
      <c r="G51" s="43">
        <v>5.09</v>
      </c>
      <c r="H51" s="58">
        <v>7.66</v>
      </c>
      <c r="I51" s="58">
        <v>5.69</v>
      </c>
      <c r="J51" s="58">
        <v>9.54</v>
      </c>
      <c r="K51" s="58">
        <v>15.51</v>
      </c>
      <c r="L51" s="58">
        <f>'TRF-2'!K155*22%</f>
        <v>7.572399999999999</v>
      </c>
      <c r="M51" s="58">
        <f>'TRF-2'!O155*22%</f>
        <v>8.276399999999999</v>
      </c>
      <c r="N51" s="338" t="s">
        <v>516</v>
      </c>
      <c r="O51" s="87"/>
      <c r="P51" s="157">
        <v>4.64</v>
      </c>
    </row>
    <row r="52" spans="1:16" ht="12.75">
      <c r="A52" s="79"/>
      <c r="B52" s="79">
        <v>33</v>
      </c>
      <c r="C52" s="232" t="s">
        <v>1046</v>
      </c>
      <c r="D52" s="43" t="e">
        <f aca="true" t="shared" si="2" ref="D52:M52">D50-D51</f>
        <v>#REF!</v>
      </c>
      <c r="E52" s="43">
        <f t="shared" si="2"/>
        <v>112.22</v>
      </c>
      <c r="F52" s="43">
        <f t="shared" si="2"/>
        <v>104.81985</v>
      </c>
      <c r="G52" s="43">
        <f t="shared" si="2"/>
        <v>205.57000000000002</v>
      </c>
      <c r="H52" s="43">
        <f t="shared" si="2"/>
        <v>492.610721</v>
      </c>
      <c r="I52" s="43">
        <f t="shared" si="2"/>
        <v>297.01000000000005</v>
      </c>
      <c r="J52" s="43">
        <f t="shared" si="2"/>
        <v>233.76999999999998</v>
      </c>
      <c r="K52" s="43">
        <f t="shared" si="2"/>
        <v>271.0814936</v>
      </c>
      <c r="L52" s="43">
        <f t="shared" si="2"/>
        <v>269.81513399999994</v>
      </c>
      <c r="M52" s="43">
        <f t="shared" si="2"/>
        <v>341.19999092666666</v>
      </c>
      <c r="N52" s="342"/>
      <c r="O52" s="64">
        <f>O50-O51</f>
        <v>234.84000000000003</v>
      </c>
      <c r="P52" s="64">
        <f>P50-P51</f>
        <v>269.44</v>
      </c>
    </row>
    <row r="53" spans="1:14" ht="12.75">
      <c r="A53" s="79"/>
      <c r="B53" s="79"/>
      <c r="C53" s="229" t="s">
        <v>1115</v>
      </c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342"/>
    </row>
    <row r="54" spans="1:14" ht="12.75">
      <c r="A54" s="79">
        <v>1</v>
      </c>
      <c r="B54" s="79">
        <v>1</v>
      </c>
      <c r="C54" s="79" t="s">
        <v>864</v>
      </c>
      <c r="D54" s="203">
        <v>4598</v>
      </c>
      <c r="E54" s="203"/>
      <c r="F54" s="203">
        <v>4580</v>
      </c>
      <c r="G54" s="203">
        <v>4312</v>
      </c>
      <c r="H54" s="203">
        <v>4048</v>
      </c>
      <c r="I54" s="203">
        <v>3697</v>
      </c>
      <c r="J54" s="203">
        <f>2882+684-42</f>
        <v>3524</v>
      </c>
      <c r="K54" s="203"/>
      <c r="L54" s="203"/>
      <c r="M54" s="203"/>
      <c r="N54" s="342"/>
    </row>
    <row r="55" spans="1:14" ht="9" customHeight="1">
      <c r="A55" s="79"/>
      <c r="B55" s="79"/>
      <c r="C55" s="79"/>
      <c r="D55" s="203"/>
      <c r="E55" s="203"/>
      <c r="F55" s="203" t="s">
        <v>868</v>
      </c>
      <c r="G55" s="203" t="s">
        <v>865</v>
      </c>
      <c r="H55" s="203" t="s">
        <v>866</v>
      </c>
      <c r="I55" s="350" t="s">
        <v>817</v>
      </c>
      <c r="J55" s="349" t="s">
        <v>818</v>
      </c>
      <c r="K55" s="349" t="s">
        <v>819</v>
      </c>
      <c r="L55" s="349" t="s">
        <v>872</v>
      </c>
      <c r="M55" s="349" t="s">
        <v>234</v>
      </c>
      <c r="N55" s="342"/>
    </row>
    <row r="56" spans="1:14" ht="12.75">
      <c r="A56" s="79">
        <v>2</v>
      </c>
      <c r="B56" s="79">
        <v>2</v>
      </c>
      <c r="C56" s="79" t="s">
        <v>1120</v>
      </c>
      <c r="D56" s="58"/>
      <c r="E56" s="58"/>
      <c r="F56" s="58"/>
      <c r="G56" s="58"/>
      <c r="H56" s="58"/>
      <c r="I56" s="58"/>
      <c r="J56" s="58"/>
      <c r="K56" s="203">
        <v>3392</v>
      </c>
      <c r="L56" s="203">
        <v>3453</v>
      </c>
      <c r="M56" s="203">
        <v>3322</v>
      </c>
      <c r="N56" s="342"/>
    </row>
    <row r="57" spans="1:14" ht="6.75" customHeight="1">
      <c r="A57" s="79"/>
      <c r="B57" s="79"/>
      <c r="C57" s="79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342"/>
    </row>
    <row r="58" spans="1:14" ht="12.75">
      <c r="A58" s="79">
        <v>3</v>
      </c>
      <c r="B58" s="79">
        <v>3</v>
      </c>
      <c r="C58" s="79" t="s">
        <v>1121</v>
      </c>
      <c r="D58" s="203"/>
      <c r="E58" s="203"/>
      <c r="F58" s="203"/>
      <c r="G58" s="203">
        <v>13</v>
      </c>
      <c r="H58" s="203">
        <v>13</v>
      </c>
      <c r="I58" s="203">
        <v>13</v>
      </c>
      <c r="J58" s="203">
        <v>13</v>
      </c>
      <c r="K58" s="203">
        <v>13</v>
      </c>
      <c r="L58" s="203">
        <v>13</v>
      </c>
      <c r="M58" s="203">
        <v>13</v>
      </c>
      <c r="N58" s="342"/>
    </row>
    <row r="59" spans="1:14" ht="12.75">
      <c r="A59" s="79"/>
      <c r="B59" s="79"/>
      <c r="C59" s="79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342"/>
    </row>
    <row r="60" spans="1:14" ht="12.75">
      <c r="A60" s="79">
        <v>4</v>
      </c>
      <c r="B60" s="79">
        <v>4</v>
      </c>
      <c r="C60" s="79" t="s">
        <v>594</v>
      </c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342"/>
    </row>
    <row r="61" ht="12.75">
      <c r="C61" s="114" t="s">
        <v>1122</v>
      </c>
    </row>
    <row r="62" spans="3:13" ht="12.75" hidden="1">
      <c r="C62" s="332" t="s">
        <v>1009</v>
      </c>
      <c r="D62" s="157"/>
      <c r="H62" s="157"/>
      <c r="I62" s="157"/>
      <c r="J62" s="157"/>
      <c r="K62" s="157"/>
      <c r="L62" s="157"/>
      <c r="M62" s="157"/>
    </row>
    <row r="63" spans="3:13" ht="12.75" hidden="1">
      <c r="C63" s="205" t="s">
        <v>1010</v>
      </c>
      <c r="D63" s="157"/>
      <c r="H63" s="157"/>
      <c r="I63" s="157"/>
      <c r="J63" s="157"/>
      <c r="K63" s="157"/>
      <c r="L63" s="157"/>
      <c r="M63" s="157"/>
    </row>
    <row r="64" spans="3:13" ht="12.75">
      <c r="C64" s="205"/>
      <c r="D64" s="157"/>
      <c r="H64" s="157"/>
      <c r="I64" s="157"/>
      <c r="J64" s="157"/>
      <c r="K64" s="157"/>
      <c r="L64" s="157"/>
      <c r="M64" s="157"/>
    </row>
    <row r="65" spans="3:13" ht="12.75">
      <c r="C65" s="205"/>
      <c r="D65" s="157"/>
      <c r="H65" s="157"/>
      <c r="I65" s="157"/>
      <c r="J65" s="157"/>
      <c r="K65" s="157"/>
      <c r="L65" s="157"/>
      <c r="M65" s="157"/>
    </row>
    <row r="66" spans="3:13" ht="12.75">
      <c r="C66" s="205" t="s">
        <v>769</v>
      </c>
      <c r="D66" s="157"/>
      <c r="H66" s="333">
        <f>185*12000*12</f>
        <v>26640000</v>
      </c>
      <c r="I66" s="157"/>
      <c r="J66" s="157"/>
      <c r="K66" s="157"/>
      <c r="L66" s="157"/>
      <c r="M66" s="157"/>
    </row>
    <row r="67" spans="3:13" ht="12.75">
      <c r="C67" s="205" t="s">
        <v>770</v>
      </c>
      <c r="D67" s="157"/>
      <c r="H67" s="333">
        <f>104*10000*12</f>
        <v>12480000</v>
      </c>
      <c r="I67" s="157"/>
      <c r="J67" s="157"/>
      <c r="K67" s="157"/>
      <c r="L67" s="157"/>
      <c r="M67" s="157"/>
    </row>
    <row r="68" spans="3:13" ht="12.75">
      <c r="C68" s="205" t="s">
        <v>1105</v>
      </c>
      <c r="D68" s="157"/>
      <c r="H68" s="333">
        <f>H66+H67</f>
        <v>39120000</v>
      </c>
      <c r="I68" s="157"/>
      <c r="J68" s="157"/>
      <c r="K68" s="157"/>
      <c r="L68" s="157"/>
      <c r="M68" s="157"/>
    </row>
    <row r="69" spans="3:13" ht="12.75">
      <c r="C69" s="205"/>
      <c r="D69" s="157"/>
      <c r="H69" s="157"/>
      <c r="I69" s="157"/>
      <c r="J69" s="157"/>
      <c r="K69" s="157"/>
      <c r="L69" s="157"/>
      <c r="M69" s="157"/>
    </row>
    <row r="70" spans="4:10" ht="12.75">
      <c r="D70" s="157"/>
      <c r="H70" s="114" t="s">
        <v>274</v>
      </c>
      <c r="I70" s="114" t="s">
        <v>176</v>
      </c>
      <c r="J70" s="114" t="s">
        <v>176</v>
      </c>
    </row>
    <row r="71" spans="4:14" ht="12.75">
      <c r="D71" s="157"/>
      <c r="G71" s="114" t="s">
        <v>549</v>
      </c>
      <c r="H71" s="157">
        <f>H18</f>
        <v>64.94</v>
      </c>
      <c r="I71" s="157">
        <f>I18</f>
        <v>90.59</v>
      </c>
      <c r="J71" s="157">
        <f>J18</f>
        <v>74.72</v>
      </c>
      <c r="K71" s="157"/>
      <c r="L71" s="157"/>
      <c r="M71" s="157"/>
      <c r="N71" s="345" t="s">
        <v>277</v>
      </c>
    </row>
    <row r="72" spans="3:14" ht="12.75">
      <c r="C72" s="114" t="s">
        <v>554</v>
      </c>
      <c r="G72" s="157" t="s">
        <v>550</v>
      </c>
      <c r="H72" s="157">
        <f>H20</f>
        <v>17.41</v>
      </c>
      <c r="I72" s="157">
        <f>I20</f>
        <v>13.51</v>
      </c>
      <c r="J72" s="157">
        <f>J20</f>
        <v>12.04</v>
      </c>
      <c r="K72" s="157"/>
      <c r="L72" s="157"/>
      <c r="M72" s="157"/>
      <c r="N72" s="332" t="s">
        <v>798</v>
      </c>
    </row>
    <row r="73" spans="3:14" ht="12.75">
      <c r="C73" s="114" t="s">
        <v>274</v>
      </c>
      <c r="G73" s="157" t="s">
        <v>1105</v>
      </c>
      <c r="H73" s="157">
        <f>H71+H72</f>
        <v>82.35</v>
      </c>
      <c r="I73" s="157">
        <f>I71+I72</f>
        <v>104.10000000000001</v>
      </c>
      <c r="J73" s="157">
        <f>J71+J72</f>
        <v>86.75999999999999</v>
      </c>
      <c r="K73" s="157"/>
      <c r="L73" s="157"/>
      <c r="M73" s="157"/>
      <c r="N73" s="332" t="s">
        <v>799</v>
      </c>
    </row>
    <row r="74" spans="7:14" ht="12.75">
      <c r="G74" s="157" t="s">
        <v>578</v>
      </c>
      <c r="H74" s="157">
        <f>H43</f>
        <v>389.810721</v>
      </c>
      <c r="I74" s="157">
        <v>32.62</v>
      </c>
      <c r="J74" s="157">
        <v>32.62</v>
      </c>
      <c r="K74" s="157"/>
      <c r="L74" s="157"/>
      <c r="M74" s="157"/>
      <c r="N74" s="332" t="s">
        <v>800</v>
      </c>
    </row>
    <row r="75" spans="7:14" ht="12.75">
      <c r="G75" s="157" t="s">
        <v>553</v>
      </c>
      <c r="H75" s="157">
        <f>H46</f>
        <v>3.86</v>
      </c>
      <c r="I75" s="157">
        <v>5.04</v>
      </c>
      <c r="J75" s="157">
        <v>5.04</v>
      </c>
      <c r="K75" s="157"/>
      <c r="L75" s="157"/>
      <c r="M75" s="157"/>
      <c r="N75" s="332" t="s">
        <v>801</v>
      </c>
    </row>
    <row r="76" spans="7:14" ht="12.75">
      <c r="G76" s="157" t="s">
        <v>398</v>
      </c>
      <c r="H76" s="157">
        <f>H73+H74+H75</f>
        <v>476.020721</v>
      </c>
      <c r="I76" s="157">
        <f>I73+I74+I75</f>
        <v>141.76</v>
      </c>
      <c r="J76" s="157">
        <f>J73+J74+J75</f>
        <v>124.42</v>
      </c>
      <c r="K76" s="157"/>
      <c r="L76" s="157"/>
      <c r="M76" s="157"/>
      <c r="N76" s="332" t="s">
        <v>802</v>
      </c>
    </row>
    <row r="77" spans="3:14" ht="12.75">
      <c r="C77" s="114" t="s">
        <v>713</v>
      </c>
      <c r="G77" s="157" t="s">
        <v>1105</v>
      </c>
      <c r="H77" s="157">
        <f>H76*0.3</f>
        <v>142.8062163</v>
      </c>
      <c r="I77" s="262">
        <f>I76*0.3</f>
        <v>42.528</v>
      </c>
      <c r="J77" s="262">
        <f>J76*0.3</f>
        <v>37.326</v>
      </c>
      <c r="K77" s="262"/>
      <c r="L77" s="262"/>
      <c r="M77" s="262"/>
      <c r="N77" s="332" t="s">
        <v>898</v>
      </c>
    </row>
    <row r="78" spans="3:14" ht="12.75">
      <c r="C78" s="114" t="s">
        <v>714</v>
      </c>
      <c r="H78" s="114" t="s">
        <v>446</v>
      </c>
      <c r="I78" s="157" t="s">
        <v>926</v>
      </c>
      <c r="J78" s="157" t="s">
        <v>926</v>
      </c>
      <c r="K78" s="157"/>
      <c r="L78" s="157"/>
      <c r="M78" s="157"/>
      <c r="N78" s="332" t="s">
        <v>899</v>
      </c>
    </row>
    <row r="79" spans="7:14" ht="12.75">
      <c r="G79" s="114" t="s">
        <v>549</v>
      </c>
      <c r="H79" s="157">
        <f>F18</f>
        <v>47</v>
      </c>
      <c r="I79" s="157">
        <f>G18</f>
        <v>79.08</v>
      </c>
      <c r="J79" s="157">
        <f>H18</f>
        <v>64.94</v>
      </c>
      <c r="K79" s="157"/>
      <c r="L79" s="157"/>
      <c r="M79" s="157"/>
      <c r="N79" s="332" t="s">
        <v>1013</v>
      </c>
    </row>
    <row r="80" spans="7:14" ht="12.75">
      <c r="G80" s="157" t="s">
        <v>550</v>
      </c>
      <c r="H80" s="157">
        <f>F20</f>
        <v>15.98</v>
      </c>
      <c r="I80" s="157">
        <f>G20</f>
        <v>18.06</v>
      </c>
      <c r="J80" s="157">
        <f>H20</f>
        <v>17.41</v>
      </c>
      <c r="K80" s="157"/>
      <c r="L80" s="157"/>
      <c r="M80" s="157"/>
      <c r="N80" s="332" t="s">
        <v>1012</v>
      </c>
    </row>
    <row r="81" spans="7:14" ht="12.75">
      <c r="G81" s="157" t="s">
        <v>1105</v>
      </c>
      <c r="H81" s="157">
        <f>H79+H80</f>
        <v>62.980000000000004</v>
      </c>
      <c r="I81" s="157">
        <f>I79+I80</f>
        <v>97.14</v>
      </c>
      <c r="J81" s="157">
        <f>J79+J80</f>
        <v>82.35</v>
      </c>
      <c r="K81" s="157"/>
      <c r="L81" s="157"/>
      <c r="M81" s="157"/>
      <c r="N81" s="332" t="s">
        <v>1011</v>
      </c>
    </row>
    <row r="82" spans="7:14" ht="12.75">
      <c r="G82" s="157" t="s">
        <v>578</v>
      </c>
      <c r="H82" s="157">
        <f>F43</f>
        <v>29.06</v>
      </c>
      <c r="I82" s="157">
        <f>G43</f>
        <v>79.83</v>
      </c>
      <c r="J82" s="157">
        <f>H43</f>
        <v>389.810721</v>
      </c>
      <c r="K82" s="157"/>
      <c r="L82" s="157"/>
      <c r="M82" s="157"/>
      <c r="N82" s="332" t="s">
        <v>1327</v>
      </c>
    </row>
    <row r="83" spans="7:14" ht="12.75">
      <c r="G83" s="157" t="s">
        <v>553</v>
      </c>
      <c r="H83" s="157">
        <f>F46</f>
        <v>3.5</v>
      </c>
      <c r="I83" s="157">
        <f>G46</f>
        <v>3.76</v>
      </c>
      <c r="J83" s="157">
        <f>H46</f>
        <v>3.86</v>
      </c>
      <c r="K83" s="157"/>
      <c r="L83" s="157"/>
      <c r="M83" s="157"/>
      <c r="N83" s="332" t="s">
        <v>1328</v>
      </c>
    </row>
    <row r="84" spans="7:14" ht="12.75">
      <c r="G84" s="157" t="s">
        <v>398</v>
      </c>
      <c r="H84" s="157">
        <f>H81+H82+H83</f>
        <v>95.54</v>
      </c>
      <c r="I84" s="157">
        <f>I81+I82+I83</f>
        <v>180.73</v>
      </c>
      <c r="J84" s="157">
        <f>J81+J82+J83</f>
        <v>476.020721</v>
      </c>
      <c r="K84" s="157"/>
      <c r="L84" s="157"/>
      <c r="M84" s="157"/>
      <c r="N84" s="332" t="s">
        <v>278</v>
      </c>
    </row>
    <row r="85" spans="3:14" ht="12.75">
      <c r="C85" s="114" t="s">
        <v>715</v>
      </c>
      <c r="G85" s="157" t="s">
        <v>1105</v>
      </c>
      <c r="H85" s="157">
        <f>H84*0.3</f>
        <v>28.662000000000003</v>
      </c>
      <c r="I85" s="157">
        <f>I84*0.3</f>
        <v>54.218999999999994</v>
      </c>
      <c r="J85" s="157">
        <f>J84*0.3</f>
        <v>142.8062163</v>
      </c>
      <c r="K85" s="157"/>
      <c r="L85" s="157"/>
      <c r="M85" s="157"/>
      <c r="N85" s="332" t="s">
        <v>279</v>
      </c>
    </row>
    <row r="86" spans="3:8" ht="12.75">
      <c r="C86" s="114" t="s">
        <v>716</v>
      </c>
      <c r="G86" s="157" t="s">
        <v>398</v>
      </c>
      <c r="H86" s="262">
        <f>H77+H85+I85</f>
        <v>225.6872163</v>
      </c>
    </row>
    <row r="87" ht="12.75">
      <c r="G87" s="157" t="s">
        <v>717</v>
      </c>
    </row>
  </sheetData>
  <sheetProtection/>
  <mergeCells count="3">
    <mergeCell ref="A9:N9"/>
    <mergeCell ref="O10:O16"/>
    <mergeCell ref="P10:P16"/>
  </mergeCells>
  <printOptions horizontalCentered="1"/>
  <pageMargins left="0.21" right="0.29" top="0.57" bottom="0.18" header="0.23" footer="0.17"/>
  <pageSetup horizontalDpi="600" verticalDpi="600" orientation="portrait" paperSize="9" scale="85" r:id="rId1"/>
  <headerFooter alignWithMargins="0">
    <oddFooter>&amp;L&amp;F&amp;CPage &amp;P of &amp;N&amp;R&amp;D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3:N32"/>
  <sheetViews>
    <sheetView zoomScalePageLayoutView="0" workbookViewId="0" topLeftCell="A13">
      <selection activeCell="J24" sqref="J24"/>
    </sheetView>
  </sheetViews>
  <sheetFormatPr defaultColWidth="48.00390625" defaultRowHeight="12.75"/>
  <cols>
    <col min="1" max="1" width="3.140625" style="114" customWidth="1"/>
    <col min="2" max="2" width="42.57421875" style="114" customWidth="1"/>
    <col min="3" max="3" width="10.28125" style="114" hidden="1" customWidth="1"/>
    <col min="4" max="4" width="0.13671875" style="114" customWidth="1"/>
    <col min="5" max="5" width="12.57421875" style="228" hidden="1" customWidth="1"/>
    <col min="6" max="6" width="12.421875" style="114" hidden="1" customWidth="1"/>
    <col min="7" max="8" width="10.28125" style="114" hidden="1" customWidth="1"/>
    <col min="9" max="11" width="10.28125" style="114" customWidth="1"/>
    <col min="12" max="12" width="14.28125" style="114" customWidth="1"/>
    <col min="13" max="13" width="13.57421875" style="114" customWidth="1"/>
    <col min="14" max="14" width="14.8515625" style="114" customWidth="1"/>
    <col min="15" max="16384" width="48.00390625" style="114" customWidth="1"/>
  </cols>
  <sheetData>
    <row r="3" spans="1:12" ht="12.75">
      <c r="A3" s="100" t="s">
        <v>1398</v>
      </c>
      <c r="L3" s="85"/>
    </row>
    <row r="4" spans="1:14" ht="12.75">
      <c r="A4" s="233"/>
      <c r="N4" s="85"/>
    </row>
    <row r="5" spans="1:14" ht="12.75">
      <c r="A5" s="89" t="s">
        <v>1350</v>
      </c>
      <c r="B5" s="425"/>
      <c r="J5" s="85"/>
      <c r="K5" s="85" t="s">
        <v>482</v>
      </c>
      <c r="N5" s="85"/>
    </row>
    <row r="6" spans="1:14" ht="12.75">
      <c r="A6" s="89" t="s">
        <v>1351</v>
      </c>
      <c r="B6" s="425"/>
      <c r="N6" s="85"/>
    </row>
    <row r="7" spans="1:14" ht="12.75">
      <c r="A7" s="89" t="s">
        <v>1352</v>
      </c>
      <c r="B7" s="425"/>
      <c r="C7" s="205"/>
      <c r="D7" s="205"/>
      <c r="E7" s="75"/>
      <c r="F7" s="205"/>
      <c r="G7" s="205"/>
      <c r="H7" s="205"/>
      <c r="I7" s="205"/>
      <c r="J7" s="205"/>
      <c r="K7" s="205"/>
      <c r="L7" s="205"/>
      <c r="M7" s="205"/>
      <c r="N7" s="205"/>
    </row>
    <row r="8" spans="1:12" ht="12.75">
      <c r="A8" s="9"/>
      <c r="L8" s="75" t="s">
        <v>185</v>
      </c>
    </row>
    <row r="9" ht="12.75">
      <c r="A9" s="9"/>
    </row>
    <row r="10" spans="1:14" ht="15.75">
      <c r="A10" s="576" t="s">
        <v>1123</v>
      </c>
      <c r="B10" s="576"/>
      <c r="C10" s="576"/>
      <c r="D10" s="576"/>
      <c r="E10" s="576"/>
      <c r="F10" s="576"/>
      <c r="G10" s="576"/>
      <c r="H10" s="576"/>
      <c r="I10" s="576"/>
      <c r="J10" s="576"/>
      <c r="K10" s="576"/>
      <c r="L10" s="576"/>
      <c r="M10" s="114" t="s">
        <v>153</v>
      </c>
      <c r="N10" s="114" t="s">
        <v>862</v>
      </c>
    </row>
    <row r="11" spans="1:11" ht="12.75">
      <c r="A11" s="234"/>
      <c r="B11" s="235"/>
      <c r="C11" s="95"/>
      <c r="D11" s="95"/>
      <c r="E11" s="95"/>
      <c r="F11" s="95"/>
      <c r="G11" s="95"/>
      <c r="H11" s="95"/>
      <c r="I11" s="95"/>
      <c r="J11" s="95"/>
      <c r="K11" s="95"/>
    </row>
    <row r="12" spans="1:14" ht="60" customHeight="1">
      <c r="A12" s="96"/>
      <c r="B12" s="97"/>
      <c r="C12" s="150" t="s">
        <v>908</v>
      </c>
      <c r="D12" s="150" t="s">
        <v>178</v>
      </c>
      <c r="E12" s="150" t="s">
        <v>436</v>
      </c>
      <c r="F12" s="150" t="s">
        <v>727</v>
      </c>
      <c r="G12" s="150" t="s">
        <v>983</v>
      </c>
      <c r="H12" s="150" t="s">
        <v>1004</v>
      </c>
      <c r="I12" s="150" t="s">
        <v>242</v>
      </c>
      <c r="J12" s="150" t="s">
        <v>1307</v>
      </c>
      <c r="K12" s="150" t="s">
        <v>1357</v>
      </c>
      <c r="L12" s="422" t="s">
        <v>186</v>
      </c>
      <c r="M12" s="150" t="s">
        <v>1307</v>
      </c>
      <c r="N12" s="150" t="s">
        <v>1307</v>
      </c>
    </row>
    <row r="13" spans="1:12" ht="41.25" customHeight="1">
      <c r="A13" s="98"/>
      <c r="B13" s="98" t="s">
        <v>964</v>
      </c>
      <c r="C13" s="79"/>
      <c r="D13" s="79"/>
      <c r="E13" s="229"/>
      <c r="F13" s="79"/>
      <c r="G13" s="79"/>
      <c r="H13" s="79"/>
      <c r="I13" s="79"/>
      <c r="J13" s="79"/>
      <c r="K13" s="79"/>
      <c r="L13" s="371"/>
    </row>
    <row r="14" spans="1:12" ht="12.75" hidden="1">
      <c r="A14" s="236">
        <v>1</v>
      </c>
      <c r="B14" s="79" t="s">
        <v>1125</v>
      </c>
      <c r="C14" s="58">
        <v>0</v>
      </c>
      <c r="D14" s="58">
        <v>0.15</v>
      </c>
      <c r="E14" s="43"/>
      <c r="F14" s="58">
        <v>1</v>
      </c>
      <c r="G14" s="58">
        <v>1</v>
      </c>
      <c r="H14" s="58">
        <v>1</v>
      </c>
      <c r="I14" s="58">
        <v>1</v>
      </c>
      <c r="J14" s="58">
        <v>1</v>
      </c>
      <c r="K14" s="58">
        <v>1</v>
      </c>
      <c r="L14" s="237"/>
    </row>
    <row r="15" spans="1:12" ht="12.75" hidden="1">
      <c r="A15" s="236">
        <v>2</v>
      </c>
      <c r="B15" s="79" t="s">
        <v>1126</v>
      </c>
      <c r="C15" s="58">
        <v>4.6</v>
      </c>
      <c r="D15" s="58">
        <v>9.22</v>
      </c>
      <c r="E15" s="43">
        <v>14.53</v>
      </c>
      <c r="F15" s="58">
        <v>65</v>
      </c>
      <c r="G15" s="58">
        <v>90</v>
      </c>
      <c r="H15" s="58">
        <v>90</v>
      </c>
      <c r="I15" s="58">
        <v>90</v>
      </c>
      <c r="J15" s="58">
        <v>90</v>
      </c>
      <c r="K15" s="58">
        <v>90</v>
      </c>
      <c r="L15" s="237"/>
    </row>
    <row r="16" spans="1:12" ht="12.75" hidden="1">
      <c r="A16" s="236">
        <v>3</v>
      </c>
      <c r="B16" s="79" t="s">
        <v>1047</v>
      </c>
      <c r="C16" s="58">
        <v>1.63</v>
      </c>
      <c r="D16" s="58">
        <v>1.2</v>
      </c>
      <c r="E16" s="43">
        <v>1.15</v>
      </c>
      <c r="F16" s="58">
        <v>1.5</v>
      </c>
      <c r="G16" s="58">
        <v>1.5</v>
      </c>
      <c r="H16" s="58">
        <v>1.5</v>
      </c>
      <c r="I16" s="58">
        <v>1.5</v>
      </c>
      <c r="J16" s="58">
        <v>1.5</v>
      </c>
      <c r="K16" s="58">
        <v>1.5</v>
      </c>
      <c r="L16" s="237"/>
    </row>
    <row r="17" spans="1:12" ht="12.75" hidden="1">
      <c r="A17" s="236">
        <v>4</v>
      </c>
      <c r="B17" s="79" t="s">
        <v>1048</v>
      </c>
      <c r="C17" s="58">
        <v>0.3</v>
      </c>
      <c r="D17" s="58">
        <v>0.3</v>
      </c>
      <c r="E17" s="43">
        <v>0.22</v>
      </c>
      <c r="F17" s="58">
        <v>0.25</v>
      </c>
      <c r="G17" s="58">
        <v>0.25</v>
      </c>
      <c r="H17" s="58">
        <v>0.25</v>
      </c>
      <c r="I17" s="58">
        <v>0.25</v>
      </c>
      <c r="J17" s="58">
        <v>0.25</v>
      </c>
      <c r="K17" s="58">
        <v>0.25</v>
      </c>
      <c r="L17" s="237"/>
    </row>
    <row r="18" spans="1:12" ht="12.75" hidden="1">
      <c r="A18" s="236">
        <v>5</v>
      </c>
      <c r="B18" s="79" t="s">
        <v>1049</v>
      </c>
      <c r="C18" s="58">
        <v>0.42</v>
      </c>
      <c r="D18" s="58">
        <v>0.43</v>
      </c>
      <c r="E18" s="43">
        <v>0.4</v>
      </c>
      <c r="F18" s="58">
        <v>0.5</v>
      </c>
      <c r="G18" s="58">
        <v>0.5</v>
      </c>
      <c r="H18" s="58">
        <v>0.5</v>
      </c>
      <c r="I18" s="58">
        <v>0.5</v>
      </c>
      <c r="J18" s="58">
        <v>0.5</v>
      </c>
      <c r="K18" s="58">
        <v>0.5</v>
      </c>
      <c r="L18" s="237"/>
    </row>
    <row r="19" spans="1:12" ht="12.75" hidden="1">
      <c r="A19" s="236">
        <v>6</v>
      </c>
      <c r="B19" s="79" t="s">
        <v>1050</v>
      </c>
      <c r="C19" s="58">
        <v>0</v>
      </c>
      <c r="D19" s="58"/>
      <c r="E19" s="43"/>
      <c r="F19" s="58"/>
      <c r="G19" s="58"/>
      <c r="H19" s="58"/>
      <c r="I19" s="58"/>
      <c r="J19" s="58"/>
      <c r="K19" s="58"/>
      <c r="L19" s="237"/>
    </row>
    <row r="20" spans="1:12" ht="12.75" hidden="1">
      <c r="A20" s="236">
        <v>7</v>
      </c>
      <c r="B20" s="79" t="s">
        <v>1051</v>
      </c>
      <c r="C20" s="58">
        <v>0</v>
      </c>
      <c r="D20" s="58"/>
      <c r="E20" s="43"/>
      <c r="F20" s="58"/>
      <c r="G20" s="58"/>
      <c r="H20" s="58"/>
      <c r="I20" s="58"/>
      <c r="J20" s="58"/>
      <c r="K20" s="58"/>
      <c r="L20" s="237"/>
    </row>
    <row r="21" spans="1:12" ht="12.75" hidden="1">
      <c r="A21" s="236">
        <v>8</v>
      </c>
      <c r="B21" s="79" t="s">
        <v>1052</v>
      </c>
      <c r="C21" s="58">
        <v>0</v>
      </c>
      <c r="D21" s="58"/>
      <c r="E21" s="43"/>
      <c r="F21" s="58"/>
      <c r="G21" s="58"/>
      <c r="H21" s="58"/>
      <c r="I21" s="58"/>
      <c r="J21" s="58"/>
      <c r="K21" s="58"/>
      <c r="L21" s="237"/>
    </row>
    <row r="22" spans="1:14" ht="24.75" customHeight="1">
      <c r="A22" s="236"/>
      <c r="B22" s="277" t="s">
        <v>874</v>
      </c>
      <c r="C22" s="58"/>
      <c r="D22" s="58"/>
      <c r="E22" s="43">
        <v>16.51</v>
      </c>
      <c r="F22" s="58">
        <v>16.92</v>
      </c>
      <c r="G22" s="58">
        <v>26.14</v>
      </c>
      <c r="H22" s="58">
        <v>28.31</v>
      </c>
      <c r="I22" s="58">
        <v>45.7</v>
      </c>
      <c r="J22" s="58">
        <f>34.92+50</f>
        <v>84.92</v>
      </c>
      <c r="K22" s="58">
        <v>83.09</v>
      </c>
      <c r="L22" s="237"/>
      <c r="M22" s="218">
        <f>34.92+50</f>
        <v>84.92</v>
      </c>
      <c r="N22" s="79"/>
    </row>
    <row r="23" spans="1:14" ht="18" customHeight="1">
      <c r="A23" s="236"/>
      <c r="B23" s="277" t="s">
        <v>871</v>
      </c>
      <c r="C23" s="58"/>
      <c r="D23" s="58"/>
      <c r="E23" s="43"/>
      <c r="F23" s="58"/>
      <c r="G23" s="58">
        <v>0</v>
      </c>
      <c r="H23" s="58">
        <v>0</v>
      </c>
      <c r="I23" s="58"/>
      <c r="J23" s="58">
        <v>2.6</v>
      </c>
      <c r="K23" s="58">
        <v>14.58</v>
      </c>
      <c r="L23" s="237"/>
      <c r="M23" s="218">
        <v>2.6</v>
      </c>
      <c r="N23" s="79"/>
    </row>
    <row r="24" spans="1:14" ht="19.5" customHeight="1">
      <c r="A24" s="236"/>
      <c r="B24" s="79" t="s">
        <v>873</v>
      </c>
      <c r="C24" s="58"/>
      <c r="D24" s="58"/>
      <c r="E24" s="43"/>
      <c r="F24" s="58"/>
      <c r="G24" s="58">
        <v>0</v>
      </c>
      <c r="H24" s="58">
        <v>0</v>
      </c>
      <c r="I24" s="58"/>
      <c r="J24" s="58">
        <v>3</v>
      </c>
      <c r="K24" s="58">
        <v>5.2433</v>
      </c>
      <c r="L24" s="237"/>
      <c r="M24" s="218">
        <v>3</v>
      </c>
      <c r="N24" s="79"/>
    </row>
    <row r="25" spans="1:14" ht="19.5" customHeight="1">
      <c r="A25" s="236"/>
      <c r="B25" s="79" t="s">
        <v>1125</v>
      </c>
      <c r="C25" s="58">
        <v>0</v>
      </c>
      <c r="D25" s="58">
        <v>0.15</v>
      </c>
      <c r="E25" s="43"/>
      <c r="F25" s="58"/>
      <c r="G25" s="58">
        <v>0</v>
      </c>
      <c r="H25" s="58">
        <v>0</v>
      </c>
      <c r="I25" s="58"/>
      <c r="J25" s="58">
        <f>4.35+0.15</f>
        <v>4.5</v>
      </c>
      <c r="K25" s="58">
        <v>6</v>
      </c>
      <c r="L25" s="237"/>
      <c r="M25" s="218">
        <f>4.35+0.15</f>
        <v>4.5</v>
      </c>
      <c r="N25" s="79"/>
    </row>
    <row r="26" spans="1:14" ht="19.5" customHeight="1">
      <c r="A26" s="236"/>
      <c r="B26" s="79" t="s">
        <v>1349</v>
      </c>
      <c r="C26" s="58"/>
      <c r="D26" s="58"/>
      <c r="E26" s="43"/>
      <c r="F26" s="58"/>
      <c r="G26" s="58"/>
      <c r="H26" s="58"/>
      <c r="I26" s="58"/>
      <c r="J26" s="58">
        <v>0</v>
      </c>
      <c r="K26" s="58"/>
      <c r="L26" s="237"/>
      <c r="N26" s="79"/>
    </row>
    <row r="27" spans="1:14" ht="17.25" customHeight="1">
      <c r="A27" s="236"/>
      <c r="B27" s="229" t="s">
        <v>168</v>
      </c>
      <c r="C27" s="43">
        <f>SUM(C14:C21)</f>
        <v>6.949999999999999</v>
      </c>
      <c r="D27" s="43">
        <f>SUM(D14:D21)</f>
        <v>11.3</v>
      </c>
      <c r="E27" s="43">
        <f>E22+E23+E24</f>
        <v>16.51</v>
      </c>
      <c r="F27" s="43">
        <f>F22+F23+F24</f>
        <v>16.92</v>
      </c>
      <c r="G27" s="43">
        <f>G22+G23+G24+G25</f>
        <v>26.14</v>
      </c>
      <c r="H27" s="43">
        <f>H22+H23+H24+H25</f>
        <v>28.31</v>
      </c>
      <c r="I27" s="378">
        <f>I22+I23+I24+I25</f>
        <v>45.7</v>
      </c>
      <c r="J27" s="43">
        <f>J22+J23+J24+J25+J26</f>
        <v>95.02</v>
      </c>
      <c r="K27" s="43">
        <f>K22+K23+K24+K25</f>
        <v>108.9133</v>
      </c>
      <c r="L27" s="237"/>
      <c r="M27" s="219">
        <f>M22+M23+M24+M25+M26</f>
        <v>95.02</v>
      </c>
      <c r="N27" s="423">
        <v>95</v>
      </c>
    </row>
    <row r="28" spans="1:12" ht="18.75" customHeight="1">
      <c r="A28" s="236"/>
      <c r="B28" s="79" t="s">
        <v>1053</v>
      </c>
      <c r="C28" s="58" t="e">
        <f>'[4]Sheet1'!H41</f>
        <v>#REF!</v>
      </c>
      <c r="D28" s="58">
        <v>0.01</v>
      </c>
      <c r="E28" s="43">
        <v>0.02</v>
      </c>
      <c r="F28" s="58">
        <f>D28/D27*F27</f>
        <v>0.01497345132743363</v>
      </c>
      <c r="G28" s="58"/>
      <c r="H28" s="58"/>
      <c r="I28" s="58"/>
      <c r="J28" s="58"/>
      <c r="K28" s="58"/>
      <c r="L28" s="237"/>
    </row>
    <row r="29" spans="1:12" ht="20.25" customHeight="1">
      <c r="A29" s="236"/>
      <c r="B29" s="229" t="s">
        <v>1054</v>
      </c>
      <c r="C29" s="43" t="e">
        <f aca="true" t="shared" si="0" ref="C29:K29">C27-C28</f>
        <v>#REF!</v>
      </c>
      <c r="D29" s="43">
        <f t="shared" si="0"/>
        <v>11.290000000000001</v>
      </c>
      <c r="E29" s="43">
        <f t="shared" si="0"/>
        <v>16.490000000000002</v>
      </c>
      <c r="F29" s="43">
        <f t="shared" si="0"/>
        <v>16.905026548672566</v>
      </c>
      <c r="G29" s="43">
        <f t="shared" si="0"/>
        <v>26.14</v>
      </c>
      <c r="H29" s="43">
        <f t="shared" si="0"/>
        <v>28.31</v>
      </c>
      <c r="I29" s="43">
        <f t="shared" si="0"/>
        <v>45.7</v>
      </c>
      <c r="J29" s="43">
        <f t="shared" si="0"/>
        <v>95.02</v>
      </c>
      <c r="K29" s="43">
        <f t="shared" si="0"/>
        <v>108.9133</v>
      </c>
      <c r="L29" s="237"/>
    </row>
    <row r="30" ht="12.75">
      <c r="A30" s="114" t="s">
        <v>1122</v>
      </c>
    </row>
    <row r="32" ht="12.75">
      <c r="D32" s="238"/>
    </row>
  </sheetData>
  <sheetProtection/>
  <mergeCells count="1">
    <mergeCell ref="A10:L10"/>
  </mergeCells>
  <printOptions horizontalCentered="1"/>
  <pageMargins left="0.36" right="0.41" top="1" bottom="1" header="0.5" footer="0.5"/>
  <pageSetup horizontalDpi="600" verticalDpi="600" orientation="portrait" paperSize="9" r:id="rId1"/>
  <headerFooter alignWithMargins="0">
    <oddFooter>&amp;L&amp;F&amp;CPage-&amp;P of &amp;P&amp;R&amp;D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P82"/>
  <sheetViews>
    <sheetView zoomScalePageLayoutView="0" workbookViewId="0" topLeftCell="B1">
      <selection activeCell="I62" sqref="I62"/>
    </sheetView>
  </sheetViews>
  <sheetFormatPr defaultColWidth="9.140625" defaultRowHeight="12.75"/>
  <cols>
    <col min="1" max="1" width="13.57421875" style="46" hidden="1" customWidth="1"/>
    <col min="2" max="2" width="38.7109375" style="46" customWidth="1"/>
    <col min="3" max="3" width="11.00390625" style="46" hidden="1" customWidth="1"/>
    <col min="4" max="4" width="12.140625" style="46" hidden="1" customWidth="1"/>
    <col min="5" max="5" width="15.00390625" style="239" hidden="1" customWidth="1"/>
    <col min="6" max="8" width="12.140625" style="46" hidden="1" customWidth="1"/>
    <col min="9" max="11" width="12.140625" style="46" customWidth="1"/>
    <col min="12" max="12" width="23.28125" style="46" customWidth="1"/>
    <col min="13" max="14" width="11.28125" style="46" hidden="1" customWidth="1"/>
    <col min="15" max="16384" width="9.140625" style="46" customWidth="1"/>
  </cols>
  <sheetData>
    <row r="1" spans="2:4" ht="18">
      <c r="B1" s="339" t="s">
        <v>1398</v>
      </c>
      <c r="C1" s="20"/>
      <c r="D1" s="20"/>
    </row>
    <row r="2" spans="1:11" ht="7.5" customHeight="1">
      <c r="A2" s="239"/>
      <c r="E2" s="20"/>
      <c r="F2" s="331"/>
      <c r="G2" s="20"/>
      <c r="H2" s="20"/>
      <c r="I2" s="20"/>
      <c r="J2" s="20"/>
      <c r="K2" s="20"/>
    </row>
    <row r="3" spans="2:12" ht="15.75">
      <c r="B3" s="25" t="s">
        <v>1350</v>
      </c>
      <c r="L3" s="85" t="s">
        <v>483</v>
      </c>
    </row>
    <row r="4" spans="2:12" ht="15.75">
      <c r="B4" s="25" t="s">
        <v>1351</v>
      </c>
      <c r="L4" s="114"/>
    </row>
    <row r="5" spans="2:12" ht="15.75">
      <c r="B5" s="25" t="s">
        <v>1352</v>
      </c>
      <c r="L5" s="205"/>
    </row>
    <row r="6" spans="1:12" ht="15.75">
      <c r="A6" s="18"/>
      <c r="L6" s="75" t="s">
        <v>485</v>
      </c>
    </row>
    <row r="7" spans="1:14" s="340" customFormat="1" ht="24" customHeight="1">
      <c r="A7" s="577" t="s">
        <v>1142</v>
      </c>
      <c r="B7" s="577"/>
      <c r="C7" s="577"/>
      <c r="D7" s="577"/>
      <c r="E7" s="577"/>
      <c r="F7" s="577"/>
      <c r="G7" s="577"/>
      <c r="H7" s="577"/>
      <c r="I7" s="577"/>
      <c r="J7" s="577"/>
      <c r="K7" s="577"/>
      <c r="L7" s="577"/>
      <c r="M7" s="82" t="s">
        <v>151</v>
      </c>
      <c r="N7" s="82" t="s">
        <v>152</v>
      </c>
    </row>
    <row r="8" spans="1:15" ht="31.5">
      <c r="A8" s="23" t="s">
        <v>1055</v>
      </c>
      <c r="B8" s="23" t="s">
        <v>964</v>
      </c>
      <c r="C8" s="82" t="s">
        <v>908</v>
      </c>
      <c r="D8" s="82" t="s">
        <v>178</v>
      </c>
      <c r="E8" s="82" t="s">
        <v>436</v>
      </c>
      <c r="F8" s="82" t="s">
        <v>727</v>
      </c>
      <c r="G8" s="82" t="s">
        <v>983</v>
      </c>
      <c r="H8" s="82" t="s">
        <v>1312</v>
      </c>
      <c r="I8" s="82" t="s">
        <v>972</v>
      </c>
      <c r="J8" s="82" t="s">
        <v>1307</v>
      </c>
      <c r="K8" s="82" t="s">
        <v>1357</v>
      </c>
      <c r="L8" s="23" t="s">
        <v>985</v>
      </c>
      <c r="M8" s="82" t="s">
        <v>1307</v>
      </c>
      <c r="N8" s="82" t="s">
        <v>1307</v>
      </c>
      <c r="O8" s="46" t="s">
        <v>1249</v>
      </c>
    </row>
    <row r="9" spans="1:14" ht="8.25" customHeight="1">
      <c r="A9" s="240"/>
      <c r="B9" s="240"/>
      <c r="C9" s="28"/>
      <c r="D9" s="28"/>
      <c r="E9" s="61"/>
      <c r="F9" s="28"/>
      <c r="G9" s="28"/>
      <c r="H9" s="28"/>
      <c r="I9" s="28"/>
      <c r="J9" s="28"/>
      <c r="K9" s="28"/>
      <c r="L9" s="240"/>
      <c r="M9" s="28"/>
      <c r="N9" s="28"/>
    </row>
    <row r="10" spans="1:14" ht="15.75">
      <c r="A10" s="240">
        <v>76.1</v>
      </c>
      <c r="B10" s="241" t="s">
        <v>1143</v>
      </c>
      <c r="C10" s="63"/>
      <c r="D10" s="63"/>
      <c r="E10" s="63"/>
      <c r="F10" s="63"/>
      <c r="G10" s="63"/>
      <c r="H10" s="63"/>
      <c r="I10" s="63"/>
      <c r="J10" s="63"/>
      <c r="K10" s="63"/>
      <c r="L10" s="240"/>
      <c r="M10" s="63"/>
      <c r="N10" s="63"/>
    </row>
    <row r="11" spans="1:14" ht="15.75">
      <c r="A11" s="240"/>
      <c r="B11" s="240" t="s">
        <v>1199</v>
      </c>
      <c r="C11" s="28"/>
      <c r="D11" s="28"/>
      <c r="E11" s="61"/>
      <c r="F11" s="28"/>
      <c r="G11" s="28"/>
      <c r="H11" s="28"/>
      <c r="I11" s="28"/>
      <c r="J11" s="28"/>
      <c r="K11" s="28"/>
      <c r="L11" s="240"/>
      <c r="M11" s="28"/>
      <c r="N11" s="28"/>
    </row>
    <row r="12" spans="1:14" ht="15.75">
      <c r="A12" s="240"/>
      <c r="B12" s="240" t="s">
        <v>1144</v>
      </c>
      <c r="C12" s="28" t="e">
        <f>'[4]Sheet1'!$H$46</f>
        <v>#REF!</v>
      </c>
      <c r="D12" s="28">
        <v>0.17</v>
      </c>
      <c r="E12" s="61">
        <v>0.12</v>
      </c>
      <c r="F12" s="28">
        <v>0.15</v>
      </c>
      <c r="G12" s="28">
        <v>0.09</v>
      </c>
      <c r="H12" s="28">
        <v>0.12</v>
      </c>
      <c r="I12" s="374">
        <v>0.12</v>
      </c>
      <c r="J12" s="28">
        <f aca="true" t="shared" si="0" ref="J12:K14">I12*1.1</f>
        <v>0.132</v>
      </c>
      <c r="K12" s="28">
        <f t="shared" si="0"/>
        <v>0.14520000000000002</v>
      </c>
      <c r="L12" s="240" t="s">
        <v>204</v>
      </c>
      <c r="M12" s="28">
        <v>0.2273</v>
      </c>
      <c r="N12" s="28"/>
    </row>
    <row r="13" spans="1:14" ht="15.75">
      <c r="A13" s="240"/>
      <c r="B13" s="240" t="s">
        <v>836</v>
      </c>
      <c r="C13" s="28" t="e">
        <f>'[4]Sheet1'!H47</f>
        <v>#REF!</v>
      </c>
      <c r="D13" s="28">
        <v>0</v>
      </c>
      <c r="E13" s="61">
        <v>0.05</v>
      </c>
      <c r="F13" s="28">
        <v>0.32</v>
      </c>
      <c r="G13" s="28">
        <v>0.04</v>
      </c>
      <c r="H13" s="28">
        <v>0.04</v>
      </c>
      <c r="I13" s="374">
        <v>1.06</v>
      </c>
      <c r="J13" s="28">
        <f t="shared" si="0"/>
        <v>1.1660000000000001</v>
      </c>
      <c r="K13" s="28">
        <f t="shared" si="0"/>
        <v>1.2826000000000002</v>
      </c>
      <c r="L13" s="242" t="s">
        <v>487</v>
      </c>
      <c r="M13" s="28">
        <v>0.0932</v>
      </c>
      <c r="N13" s="28"/>
    </row>
    <row r="14" spans="1:14" ht="15.75">
      <c r="A14" s="240"/>
      <c r="B14" s="240" t="s">
        <v>1145</v>
      </c>
      <c r="C14" s="28" t="e">
        <f>'[4]Sheet1'!H48</f>
        <v>#REF!</v>
      </c>
      <c r="D14" s="28">
        <v>0.2</v>
      </c>
      <c r="E14" s="61">
        <v>0.03</v>
      </c>
      <c r="F14" s="28">
        <v>0.02</v>
      </c>
      <c r="G14" s="28">
        <v>0.02</v>
      </c>
      <c r="H14" s="28">
        <v>0.02</v>
      </c>
      <c r="I14" s="374">
        <v>0.02</v>
      </c>
      <c r="J14" s="28">
        <f t="shared" si="0"/>
        <v>0.022000000000000002</v>
      </c>
      <c r="K14" s="28">
        <f t="shared" si="0"/>
        <v>0.024200000000000003</v>
      </c>
      <c r="L14" s="242" t="s">
        <v>487</v>
      </c>
      <c r="M14" s="28">
        <f>0.0363+0.0484</f>
        <v>0.0847</v>
      </c>
      <c r="N14" s="28"/>
    </row>
    <row r="15" spans="1:14" ht="15.75">
      <c r="A15" s="240"/>
      <c r="B15" s="240" t="s">
        <v>1146</v>
      </c>
      <c r="C15" s="28" t="e">
        <f>'[4]Sheet1'!H49</f>
        <v>#REF!</v>
      </c>
      <c r="D15" s="28" t="e">
        <f>C15*1.052</f>
        <v>#REF!</v>
      </c>
      <c r="E15" s="61" t="e">
        <f>D15*1.2</f>
        <v>#REF!</v>
      </c>
      <c r="F15" s="28">
        <v>0</v>
      </c>
      <c r="G15" s="28">
        <f aca="true" t="shared" si="1" ref="G15:J16">F15*1.2</f>
        <v>0</v>
      </c>
      <c r="H15" s="28">
        <f t="shared" si="1"/>
        <v>0</v>
      </c>
      <c r="I15" s="28">
        <f t="shared" si="1"/>
        <v>0</v>
      </c>
      <c r="J15" s="28">
        <f t="shared" si="1"/>
        <v>0</v>
      </c>
      <c r="K15" s="28">
        <f>J15*1.2</f>
        <v>0</v>
      </c>
      <c r="L15" s="242"/>
      <c r="M15" s="28">
        <f>L15*1.2</f>
        <v>0</v>
      </c>
      <c r="N15" s="28"/>
    </row>
    <row r="16" spans="1:14" ht="15.75">
      <c r="A16" s="240"/>
      <c r="B16" s="240" t="s">
        <v>470</v>
      </c>
      <c r="C16" s="28">
        <v>0.05</v>
      </c>
      <c r="D16" s="28">
        <v>0</v>
      </c>
      <c r="E16" s="61">
        <f>D16*1.2</f>
        <v>0</v>
      </c>
      <c r="F16" s="28">
        <f>D16*1.2</f>
        <v>0</v>
      </c>
      <c r="G16" s="28">
        <f t="shared" si="1"/>
        <v>0</v>
      </c>
      <c r="H16" s="28">
        <f t="shared" si="1"/>
        <v>0</v>
      </c>
      <c r="I16" s="28">
        <f t="shared" si="1"/>
        <v>0</v>
      </c>
      <c r="J16" s="28">
        <f t="shared" si="1"/>
        <v>0</v>
      </c>
      <c r="K16" s="28">
        <f>J16*1.2</f>
        <v>0</v>
      </c>
      <c r="L16" s="242"/>
      <c r="M16" s="28">
        <f>L16*1.2</f>
        <v>0</v>
      </c>
      <c r="N16" s="28"/>
    </row>
    <row r="17" spans="1:14" ht="15.75">
      <c r="A17" s="240"/>
      <c r="B17" s="241" t="s">
        <v>1147</v>
      </c>
      <c r="C17" s="61" t="e">
        <f aca="true" t="shared" si="2" ref="C17:M17">SUM(C12:C16)</f>
        <v>#REF!</v>
      </c>
      <c r="D17" s="61" t="e">
        <f t="shared" si="2"/>
        <v>#REF!</v>
      </c>
      <c r="E17" s="61" t="e">
        <f t="shared" si="2"/>
        <v>#REF!</v>
      </c>
      <c r="F17" s="61">
        <f t="shared" si="2"/>
        <v>0.49</v>
      </c>
      <c r="G17" s="61">
        <f t="shared" si="2"/>
        <v>0.15</v>
      </c>
      <c r="H17" s="61">
        <f t="shared" si="2"/>
        <v>0.18</v>
      </c>
      <c r="I17" s="61">
        <f t="shared" si="2"/>
        <v>1.2000000000000002</v>
      </c>
      <c r="J17" s="61">
        <f t="shared" si="2"/>
        <v>1.32</v>
      </c>
      <c r="K17" s="61">
        <f t="shared" si="2"/>
        <v>1.4520000000000002</v>
      </c>
      <c r="L17" s="240"/>
      <c r="M17" s="61">
        <f t="shared" si="2"/>
        <v>0.4052</v>
      </c>
      <c r="N17" s="61"/>
    </row>
    <row r="18" spans="1:14" ht="15.75">
      <c r="A18" s="240">
        <v>76.11</v>
      </c>
      <c r="B18" s="241" t="s">
        <v>457</v>
      </c>
      <c r="C18" s="28"/>
      <c r="D18" s="28"/>
      <c r="E18" s="61"/>
      <c r="F18" s="28"/>
      <c r="G18" s="28"/>
      <c r="H18" s="28"/>
      <c r="I18" s="28"/>
      <c r="J18" s="28"/>
      <c r="K18" s="28"/>
      <c r="L18" s="240"/>
      <c r="M18" s="28"/>
      <c r="N18" s="28"/>
    </row>
    <row r="19" spans="1:15" ht="15.75">
      <c r="A19" s="240"/>
      <c r="B19" s="240" t="s">
        <v>460</v>
      </c>
      <c r="C19" s="28" t="e">
        <f>'[4]Sheet1'!H53</f>
        <v>#REF!</v>
      </c>
      <c r="D19" s="28">
        <f>3971006.49/10^7</f>
        <v>0.397100649</v>
      </c>
      <c r="E19" s="61">
        <v>0.38</v>
      </c>
      <c r="F19" s="28">
        <v>0.39</v>
      </c>
      <c r="G19" s="28">
        <v>0.38</v>
      </c>
      <c r="H19" s="28">
        <v>0.38</v>
      </c>
      <c r="I19" s="374">
        <v>0.92</v>
      </c>
      <c r="J19" s="28">
        <f>(I19-0.04)*1.1</f>
        <v>0.9680000000000001</v>
      </c>
      <c r="K19" s="28">
        <f>J19*1.1</f>
        <v>1.0648000000000002</v>
      </c>
      <c r="L19" s="240" t="s">
        <v>204</v>
      </c>
      <c r="M19" s="28">
        <v>1.1953</v>
      </c>
      <c r="N19" s="28"/>
      <c r="O19" s="46">
        <v>0.04</v>
      </c>
    </row>
    <row r="20" spans="1:14" ht="15.75">
      <c r="A20" s="240"/>
      <c r="B20" s="240" t="s">
        <v>632</v>
      </c>
      <c r="C20" s="28" t="e">
        <f>'[4]Sheet1'!H54</f>
        <v>#REF!</v>
      </c>
      <c r="D20" s="28">
        <v>0.13</v>
      </c>
      <c r="E20" s="61">
        <v>0.08</v>
      </c>
      <c r="F20" s="28">
        <f>E20*1.2</f>
        <v>0.096</v>
      </c>
      <c r="G20" s="28">
        <v>0.05</v>
      </c>
      <c r="H20" s="28">
        <v>0.05</v>
      </c>
      <c r="I20" s="28">
        <v>0.04</v>
      </c>
      <c r="J20" s="28">
        <f>I20*1.1</f>
        <v>0.044000000000000004</v>
      </c>
      <c r="K20" s="28">
        <f>J20*1.1</f>
        <v>0.048400000000000006</v>
      </c>
      <c r="L20" s="242" t="s">
        <v>487</v>
      </c>
      <c r="M20" s="28">
        <f>0.0885+0.0093</f>
        <v>0.0978</v>
      </c>
      <c r="N20" s="28"/>
    </row>
    <row r="21" spans="1:14" ht="15.75">
      <c r="A21" s="240"/>
      <c r="B21" s="240" t="s">
        <v>461</v>
      </c>
      <c r="C21" s="28">
        <v>0</v>
      </c>
      <c r="D21" s="28">
        <f>C21*1.052</f>
        <v>0</v>
      </c>
      <c r="E21" s="61">
        <f>D21*1.2</f>
        <v>0</v>
      </c>
      <c r="F21" s="28">
        <f>D21*1.2</f>
        <v>0</v>
      </c>
      <c r="G21" s="28">
        <f aca="true" t="shared" si="3" ref="G21:J22">F21*1.2</f>
        <v>0</v>
      </c>
      <c r="H21" s="28">
        <f t="shared" si="3"/>
        <v>0</v>
      </c>
      <c r="I21" s="28">
        <f t="shared" si="3"/>
        <v>0</v>
      </c>
      <c r="J21" s="28">
        <v>0.01</v>
      </c>
      <c r="K21" s="28">
        <f>J21*1.1</f>
        <v>0.011000000000000001</v>
      </c>
      <c r="L21" s="242" t="s">
        <v>487</v>
      </c>
      <c r="M21" s="28">
        <v>0.0105</v>
      </c>
      <c r="N21" s="28"/>
    </row>
    <row r="22" spans="1:14" ht="15.75">
      <c r="A22" s="240"/>
      <c r="B22" s="240" t="s">
        <v>462</v>
      </c>
      <c r="C22" s="28" t="e">
        <f>'[4]Sheet1'!H57</f>
        <v>#REF!</v>
      </c>
      <c r="D22" s="28" t="e">
        <f>C22*1.052</f>
        <v>#REF!</v>
      </c>
      <c r="E22" s="61" t="e">
        <f>D22*1.2</f>
        <v>#REF!</v>
      </c>
      <c r="F22" s="28">
        <v>0</v>
      </c>
      <c r="G22" s="28">
        <f t="shared" si="3"/>
        <v>0</v>
      </c>
      <c r="H22" s="28">
        <f t="shared" si="3"/>
        <v>0</v>
      </c>
      <c r="I22" s="28">
        <f t="shared" si="3"/>
        <v>0</v>
      </c>
      <c r="J22" s="28">
        <f t="shared" si="3"/>
        <v>0</v>
      </c>
      <c r="K22" s="28">
        <f>J22*1.2</f>
        <v>0</v>
      </c>
      <c r="L22" s="240"/>
      <c r="M22" s="28">
        <f>L22*1.2</f>
        <v>0</v>
      </c>
      <c r="N22" s="28"/>
    </row>
    <row r="23" spans="1:14" ht="15.75">
      <c r="A23" s="240"/>
      <c r="B23" s="241" t="s">
        <v>1147</v>
      </c>
      <c r="C23" s="61" t="e">
        <f aca="true" t="shared" si="4" ref="C23:M23">SUM(C19:C22)</f>
        <v>#REF!</v>
      </c>
      <c r="D23" s="61" t="e">
        <f t="shared" si="4"/>
        <v>#REF!</v>
      </c>
      <c r="E23" s="61" t="e">
        <f t="shared" si="4"/>
        <v>#REF!</v>
      </c>
      <c r="F23" s="61">
        <f t="shared" si="4"/>
        <v>0.486</v>
      </c>
      <c r="G23" s="61">
        <f t="shared" si="4"/>
        <v>0.43</v>
      </c>
      <c r="H23" s="61">
        <f t="shared" si="4"/>
        <v>0.43</v>
      </c>
      <c r="I23" s="61">
        <f t="shared" si="4"/>
        <v>0.9600000000000001</v>
      </c>
      <c r="J23" s="61">
        <f t="shared" si="4"/>
        <v>1.022</v>
      </c>
      <c r="K23" s="61">
        <f t="shared" si="4"/>
        <v>1.1242</v>
      </c>
      <c r="L23" s="240"/>
      <c r="M23" s="61">
        <f t="shared" si="4"/>
        <v>1.3035999999999999</v>
      </c>
      <c r="N23" s="61"/>
    </row>
    <row r="24" spans="1:14" ht="15.75">
      <c r="A24" s="240">
        <v>76.12</v>
      </c>
      <c r="B24" s="241" t="s">
        <v>463</v>
      </c>
      <c r="C24" s="28"/>
      <c r="D24" s="28"/>
      <c r="E24" s="61"/>
      <c r="F24" s="28"/>
      <c r="G24" s="28"/>
      <c r="H24" s="28"/>
      <c r="I24" s="28"/>
      <c r="J24" s="28"/>
      <c r="K24" s="28"/>
      <c r="L24" s="240"/>
      <c r="M24" s="28"/>
      <c r="N24" s="28"/>
    </row>
    <row r="25" spans="1:15" ht="15.75">
      <c r="A25" s="240"/>
      <c r="B25" s="240" t="s">
        <v>464</v>
      </c>
      <c r="C25" s="28" t="e">
        <f>'[4]Sheet1'!H60</f>
        <v>#REF!</v>
      </c>
      <c r="D25" s="28">
        <v>0.13</v>
      </c>
      <c r="E25" s="61">
        <v>0.65</v>
      </c>
      <c r="F25" s="28">
        <v>0.6</v>
      </c>
      <c r="G25" s="28">
        <v>1.03</v>
      </c>
      <c r="H25" s="28">
        <v>1.07</v>
      </c>
      <c r="I25" s="374">
        <f>1.65-0.66</f>
        <v>0.9899999999999999</v>
      </c>
      <c r="J25" s="28">
        <f>(I25-0.02)*1.1</f>
        <v>1.067</v>
      </c>
      <c r="K25" s="28">
        <f>J25*1.1</f>
        <v>1.1737</v>
      </c>
      <c r="L25" s="240" t="s">
        <v>204</v>
      </c>
      <c r="M25" s="28">
        <f>0.0286+1.4374</f>
        <v>1.466</v>
      </c>
      <c r="N25" s="28"/>
      <c r="O25" s="46">
        <v>0.02</v>
      </c>
    </row>
    <row r="26" spans="1:15" ht="15.75">
      <c r="A26" s="240"/>
      <c r="B26" s="240" t="s">
        <v>465</v>
      </c>
      <c r="C26" s="28" t="e">
        <f>'[4]Sheet1'!H61</f>
        <v>#REF!</v>
      </c>
      <c r="D26" s="28">
        <v>0.03</v>
      </c>
      <c r="E26" s="61">
        <v>0.21</v>
      </c>
      <c r="F26" s="28">
        <v>0.22</v>
      </c>
      <c r="G26" s="28">
        <v>0.29</v>
      </c>
      <c r="H26" s="28">
        <v>0.62</v>
      </c>
      <c r="I26" s="28">
        <v>0.66</v>
      </c>
      <c r="J26" s="28">
        <f>(I26-0.04)*1.1</f>
        <v>0.682</v>
      </c>
      <c r="K26" s="28">
        <f>J26*1.1</f>
        <v>0.7502000000000001</v>
      </c>
      <c r="L26" s="240" t="s">
        <v>204</v>
      </c>
      <c r="M26" s="28">
        <v>0.3716</v>
      </c>
      <c r="N26" s="28"/>
      <c r="O26" s="46">
        <v>0.04</v>
      </c>
    </row>
    <row r="27" spans="1:14" ht="15.75">
      <c r="A27" s="240"/>
      <c r="B27" s="240" t="s">
        <v>466</v>
      </c>
      <c r="C27" s="28" t="e">
        <f>'[4]Sheet1'!H62</f>
        <v>#REF!</v>
      </c>
      <c r="D27" s="28">
        <v>0.21</v>
      </c>
      <c r="E27" s="61">
        <v>0.01</v>
      </c>
      <c r="F27" s="28">
        <f>E27*1.2</f>
        <v>0.012</v>
      </c>
      <c r="G27" s="28">
        <v>1.14</v>
      </c>
      <c r="H27" s="28">
        <v>0</v>
      </c>
      <c r="I27" s="28"/>
      <c r="J27" s="28">
        <v>0.003</v>
      </c>
      <c r="K27" s="28">
        <f>J27*1.2</f>
        <v>0.0036</v>
      </c>
      <c r="L27" s="242" t="s">
        <v>487</v>
      </c>
      <c r="M27" s="28">
        <v>0.003</v>
      </c>
      <c r="N27" s="28"/>
    </row>
    <row r="28" spans="1:14" ht="15.75">
      <c r="A28" s="240"/>
      <c r="B28" s="240" t="s">
        <v>1264</v>
      </c>
      <c r="C28" s="28">
        <v>0.02</v>
      </c>
      <c r="D28" s="28">
        <v>0.03</v>
      </c>
      <c r="E28" s="61">
        <f>0.02</f>
        <v>0.02</v>
      </c>
      <c r="F28" s="28">
        <v>0.04</v>
      </c>
      <c r="G28" s="28">
        <v>0.05</v>
      </c>
      <c r="H28" s="28">
        <v>0.04</v>
      </c>
      <c r="I28" s="28">
        <v>0.1</v>
      </c>
      <c r="J28" s="28">
        <f>I28*1.1</f>
        <v>0.11000000000000001</v>
      </c>
      <c r="K28" s="28">
        <f>J28*1.1</f>
        <v>0.12100000000000002</v>
      </c>
      <c r="L28" s="242" t="s">
        <v>487</v>
      </c>
      <c r="M28" s="28">
        <f>0.05+0.04+0.0705</f>
        <v>0.16049999999999998</v>
      </c>
      <c r="N28" s="28"/>
    </row>
    <row r="29" spans="1:14" ht="15.75">
      <c r="A29" s="240"/>
      <c r="B29" s="240" t="s">
        <v>1262</v>
      </c>
      <c r="C29" s="28" t="e">
        <f>'[4]Sheet1'!H64</f>
        <v>#REF!</v>
      </c>
      <c r="D29" s="28">
        <v>0.11</v>
      </c>
      <c r="E29" s="61">
        <v>0.21</v>
      </c>
      <c r="F29" s="28">
        <v>0.12</v>
      </c>
      <c r="G29" s="28">
        <v>0.3</v>
      </c>
      <c r="H29" s="28">
        <v>0.32</v>
      </c>
      <c r="I29" s="28">
        <v>0.3</v>
      </c>
      <c r="J29" s="28">
        <f>I29*1.1</f>
        <v>0.33</v>
      </c>
      <c r="K29" s="28">
        <f>J29*1.1</f>
        <v>0.36300000000000004</v>
      </c>
      <c r="L29" s="242" t="s">
        <v>487</v>
      </c>
      <c r="M29" s="28">
        <v>0.36</v>
      </c>
      <c r="N29" s="28"/>
    </row>
    <row r="30" spans="1:14" ht="15.75">
      <c r="A30" s="240"/>
      <c r="B30" s="243" t="s">
        <v>1147</v>
      </c>
      <c r="C30" s="61" t="e">
        <f aca="true" t="shared" si="5" ref="C30:M30">SUM(C25:C29)</f>
        <v>#REF!</v>
      </c>
      <c r="D30" s="61">
        <f t="shared" si="5"/>
        <v>0.51</v>
      </c>
      <c r="E30" s="61">
        <f t="shared" si="5"/>
        <v>1.1</v>
      </c>
      <c r="F30" s="61">
        <f t="shared" si="5"/>
        <v>0.992</v>
      </c>
      <c r="G30" s="61">
        <f t="shared" si="5"/>
        <v>2.8099999999999996</v>
      </c>
      <c r="H30" s="61">
        <f t="shared" si="5"/>
        <v>2.05</v>
      </c>
      <c r="I30" s="61">
        <f t="shared" si="5"/>
        <v>2.05</v>
      </c>
      <c r="J30" s="61">
        <f t="shared" si="5"/>
        <v>2.192</v>
      </c>
      <c r="K30" s="61">
        <f t="shared" si="5"/>
        <v>2.4115</v>
      </c>
      <c r="L30" s="35"/>
      <c r="M30" s="61">
        <f t="shared" si="5"/>
        <v>2.3610999999999995</v>
      </c>
      <c r="N30" s="61"/>
    </row>
    <row r="31" spans="1:14" ht="15.75">
      <c r="A31" s="240">
        <v>76.13</v>
      </c>
      <c r="B31" s="241" t="s">
        <v>467</v>
      </c>
      <c r="C31" s="28"/>
      <c r="D31" s="28"/>
      <c r="E31" s="61"/>
      <c r="F31" s="28"/>
      <c r="G31" s="28"/>
      <c r="H31" s="28"/>
      <c r="I31" s="28"/>
      <c r="J31" s="28"/>
      <c r="K31" s="28"/>
      <c r="L31" s="240"/>
      <c r="M31" s="28"/>
      <c r="N31" s="28"/>
    </row>
    <row r="32" spans="1:14" ht="15.75">
      <c r="A32" s="240"/>
      <c r="B32" s="240" t="s">
        <v>468</v>
      </c>
      <c r="C32" s="28">
        <v>0</v>
      </c>
      <c r="D32" s="28">
        <v>0.05</v>
      </c>
      <c r="E32" s="61">
        <v>0.01</v>
      </c>
      <c r="F32" s="28">
        <v>0.02</v>
      </c>
      <c r="G32" s="28">
        <v>0.01</v>
      </c>
      <c r="H32" s="28">
        <v>0</v>
      </c>
      <c r="I32" s="28">
        <f>H32*1.2</f>
        <v>0</v>
      </c>
      <c r="J32" s="28">
        <v>0.04</v>
      </c>
      <c r="K32" s="28">
        <f>J32*1.2</f>
        <v>0.048</v>
      </c>
      <c r="L32" s="240" t="s">
        <v>34</v>
      </c>
      <c r="M32" s="28">
        <v>0.04</v>
      </c>
      <c r="N32" s="28"/>
    </row>
    <row r="33" spans="1:15" ht="15.75">
      <c r="A33" s="240"/>
      <c r="B33" s="240" t="s">
        <v>469</v>
      </c>
      <c r="C33" s="28" t="e">
        <f>'[4]Sheet1'!H68</f>
        <v>#REF!</v>
      </c>
      <c r="D33" s="28">
        <v>0.09</v>
      </c>
      <c r="E33" s="61">
        <v>0.95</v>
      </c>
      <c r="F33" s="28">
        <v>1.04</v>
      </c>
      <c r="G33" s="28">
        <v>1.67</v>
      </c>
      <c r="H33" s="28">
        <f>1.79+0.28</f>
        <v>2.0700000000000003</v>
      </c>
      <c r="I33" s="374">
        <v>1.87</v>
      </c>
      <c r="J33" s="28">
        <f>(I33-0.06)*1.1</f>
        <v>1.9910000000000003</v>
      </c>
      <c r="K33" s="28">
        <f aca="true" t="shared" si="6" ref="J33:K35">J33*1.1</f>
        <v>2.1901000000000006</v>
      </c>
      <c r="L33" s="240" t="s">
        <v>204</v>
      </c>
      <c r="M33" s="28">
        <v>2.0203</v>
      </c>
      <c r="N33" s="28"/>
      <c r="O33" s="46">
        <v>0.06</v>
      </c>
    </row>
    <row r="34" spans="1:15" ht="29.25" customHeight="1">
      <c r="A34" s="240"/>
      <c r="B34" s="328" t="s">
        <v>1263</v>
      </c>
      <c r="C34" s="28" t="e">
        <f>'[4]Sheet1'!H69</f>
        <v>#REF!</v>
      </c>
      <c r="D34" s="28">
        <v>0.07</v>
      </c>
      <c r="E34" s="61">
        <v>1.27</v>
      </c>
      <c r="F34" s="28">
        <v>1.69</v>
      </c>
      <c r="G34" s="28">
        <v>1.54</v>
      </c>
      <c r="H34" s="28">
        <f>1.77</f>
        <v>1.77</v>
      </c>
      <c r="I34" s="28">
        <f>1.97+0.45+0.07</f>
        <v>2.4899999999999998</v>
      </c>
      <c r="J34" s="28">
        <f>(I34-0.05)*1.1</f>
        <v>2.684</v>
      </c>
      <c r="K34" s="28">
        <f t="shared" si="6"/>
        <v>2.9524000000000004</v>
      </c>
      <c r="L34" s="242" t="s">
        <v>487</v>
      </c>
      <c r="M34" s="28">
        <f>0.0048+0.6235+2.465+0.162+0.0045</f>
        <v>3.2598000000000003</v>
      </c>
      <c r="N34" s="28"/>
      <c r="O34" s="46">
        <f>0.05</f>
        <v>0.05</v>
      </c>
    </row>
    <row r="35" spans="1:14" ht="30">
      <c r="A35" s="240"/>
      <c r="B35" s="328" t="s">
        <v>1265</v>
      </c>
      <c r="C35" s="28" t="e">
        <f>'[4]Sheet1'!H70</f>
        <v>#REF!</v>
      </c>
      <c r="D35" s="28">
        <v>0</v>
      </c>
      <c r="E35" s="61">
        <v>0.07</v>
      </c>
      <c r="F35" s="28">
        <f>0.26+0.27</f>
        <v>0.53</v>
      </c>
      <c r="G35" s="28">
        <v>0.05</v>
      </c>
      <c r="H35" s="28">
        <v>0.06</v>
      </c>
      <c r="I35" s="28">
        <v>0.04</v>
      </c>
      <c r="J35" s="28">
        <f t="shared" si="6"/>
        <v>0.044000000000000004</v>
      </c>
      <c r="K35" s="28">
        <f t="shared" si="6"/>
        <v>0.048400000000000006</v>
      </c>
      <c r="L35" s="242" t="s">
        <v>487</v>
      </c>
      <c r="M35" s="28">
        <v>0.0869</v>
      </c>
      <c r="N35" s="28"/>
    </row>
    <row r="36" spans="1:14" ht="15.75">
      <c r="A36" s="240"/>
      <c r="B36" s="243" t="s">
        <v>1147</v>
      </c>
      <c r="C36" s="61" t="e">
        <f aca="true" t="shared" si="7" ref="C36:M36">SUM(C32:C35)</f>
        <v>#REF!</v>
      </c>
      <c r="D36" s="61">
        <f t="shared" si="7"/>
        <v>0.21000000000000002</v>
      </c>
      <c r="E36" s="61">
        <f t="shared" si="7"/>
        <v>2.3</v>
      </c>
      <c r="F36" s="61">
        <f t="shared" si="7"/>
        <v>3.2800000000000002</v>
      </c>
      <c r="G36" s="61">
        <f t="shared" si="7"/>
        <v>3.2699999999999996</v>
      </c>
      <c r="H36" s="61">
        <f t="shared" si="7"/>
        <v>3.9000000000000004</v>
      </c>
      <c r="I36" s="61">
        <f t="shared" si="7"/>
        <v>4.3999999999999995</v>
      </c>
      <c r="J36" s="61">
        <f t="shared" si="7"/>
        <v>4.7589999999999995</v>
      </c>
      <c r="K36" s="61">
        <f t="shared" si="7"/>
        <v>5.238900000000001</v>
      </c>
      <c r="L36" s="240"/>
      <c r="M36" s="61">
        <f t="shared" si="7"/>
        <v>5.407</v>
      </c>
      <c r="N36" s="61">
        <v>18.03</v>
      </c>
    </row>
    <row r="37" spans="1:14" ht="15.75">
      <c r="A37" s="240" t="s">
        <v>942</v>
      </c>
      <c r="B37" s="241" t="s">
        <v>471</v>
      </c>
      <c r="C37" s="28"/>
      <c r="D37" s="28"/>
      <c r="E37" s="61"/>
      <c r="F37" s="28"/>
      <c r="G37" s="28"/>
      <c r="H37" s="28"/>
      <c r="I37" s="28"/>
      <c r="J37" s="28"/>
      <c r="K37" s="28"/>
      <c r="L37" s="240"/>
      <c r="M37" s="28"/>
      <c r="N37" s="28"/>
    </row>
    <row r="38" spans="1:16" ht="15.75">
      <c r="A38" s="240"/>
      <c r="B38" s="240" t="s">
        <v>473</v>
      </c>
      <c r="C38" s="28" t="e">
        <f>'[4]Sheet1'!H73</f>
        <v>#REF!</v>
      </c>
      <c r="D38" s="28">
        <v>1.01</v>
      </c>
      <c r="E38" s="61">
        <v>0.13</v>
      </c>
      <c r="F38" s="28">
        <v>0.18</v>
      </c>
      <c r="G38" s="28">
        <v>0.01</v>
      </c>
      <c r="H38" s="28">
        <v>0.15</v>
      </c>
      <c r="I38" s="28">
        <v>0.15</v>
      </c>
      <c r="J38" s="28">
        <f aca="true" t="shared" si="8" ref="J38:K40">I38*1.1</f>
        <v>0.165</v>
      </c>
      <c r="K38" s="28">
        <f t="shared" si="8"/>
        <v>0.18150000000000002</v>
      </c>
      <c r="L38" s="240" t="s">
        <v>204</v>
      </c>
      <c r="M38" s="28">
        <v>0.1601</v>
      </c>
      <c r="N38" s="28"/>
      <c r="O38" s="101"/>
      <c r="P38" s="244"/>
    </row>
    <row r="39" spans="1:16" ht="15.75">
      <c r="A39" s="240"/>
      <c r="B39" s="240" t="s">
        <v>474</v>
      </c>
      <c r="C39" s="28" t="e">
        <f>'[4]Sheet1'!H74</f>
        <v>#REF!</v>
      </c>
      <c r="D39" s="28" t="e">
        <f>C39*1.052</f>
        <v>#REF!</v>
      </c>
      <c r="E39" s="61">
        <v>0.01</v>
      </c>
      <c r="F39" s="28">
        <v>0.05</v>
      </c>
      <c r="G39" s="28">
        <v>0.01</v>
      </c>
      <c r="H39" s="28">
        <v>0.01</v>
      </c>
      <c r="I39" s="28">
        <v>0.03</v>
      </c>
      <c r="J39" s="28">
        <f t="shared" si="8"/>
        <v>0.033</v>
      </c>
      <c r="K39" s="28">
        <f t="shared" si="8"/>
        <v>0.036300000000000006</v>
      </c>
      <c r="L39" s="242" t="s">
        <v>487</v>
      </c>
      <c r="M39" s="28">
        <v>0.0307</v>
      </c>
      <c r="N39" s="28"/>
      <c r="O39" s="101"/>
      <c r="P39" s="244"/>
    </row>
    <row r="40" spans="1:16" ht="15.75">
      <c r="A40" s="240"/>
      <c r="B40" s="240" t="s">
        <v>475</v>
      </c>
      <c r="C40" s="28" t="e">
        <f>'[4]Sheet1'!H75</f>
        <v>#REF!</v>
      </c>
      <c r="D40" s="28">
        <v>0.19</v>
      </c>
      <c r="E40" s="61">
        <v>0.21</v>
      </c>
      <c r="F40" s="28">
        <v>0.28</v>
      </c>
      <c r="G40" s="28">
        <v>0.27</v>
      </c>
      <c r="H40" s="28">
        <v>0.33</v>
      </c>
      <c r="I40" s="28">
        <v>0.3</v>
      </c>
      <c r="J40" s="28">
        <f>(I40-0.01)*1.1</f>
        <v>0.319</v>
      </c>
      <c r="K40" s="28">
        <f t="shared" si="8"/>
        <v>0.35090000000000005</v>
      </c>
      <c r="L40" s="242" t="s">
        <v>487</v>
      </c>
      <c r="M40" s="28">
        <f>0.3426+0.1598</f>
        <v>0.5024</v>
      </c>
      <c r="N40" s="28"/>
      <c r="O40" s="101">
        <v>0.01</v>
      </c>
      <c r="P40" s="244"/>
    </row>
    <row r="41" spans="1:16" ht="15.75">
      <c r="A41" s="240"/>
      <c r="B41" s="240" t="s">
        <v>1268</v>
      </c>
      <c r="C41" s="28"/>
      <c r="D41" s="28"/>
      <c r="E41" s="61">
        <v>0.09</v>
      </c>
      <c r="F41" s="28">
        <v>0.1</v>
      </c>
      <c r="G41" s="28">
        <v>0.1</v>
      </c>
      <c r="H41" s="28">
        <v>0.11</v>
      </c>
      <c r="I41" s="28">
        <v>0.11</v>
      </c>
      <c r="J41" s="28">
        <f>0.11-0.11</f>
        <v>0</v>
      </c>
      <c r="K41" s="28">
        <v>0</v>
      </c>
      <c r="L41" s="222" t="s">
        <v>1200</v>
      </c>
      <c r="M41" s="28"/>
      <c r="N41" s="28"/>
      <c r="O41" s="101">
        <v>0.11</v>
      </c>
      <c r="P41" s="244"/>
    </row>
    <row r="42" spans="1:16" ht="15.75">
      <c r="A42" s="240"/>
      <c r="B42" s="240" t="s">
        <v>476</v>
      </c>
      <c r="C42" s="28" t="e">
        <f>'[4]Sheet1'!H76</f>
        <v>#REF!</v>
      </c>
      <c r="D42" s="28">
        <v>0.04</v>
      </c>
      <c r="E42" s="61">
        <v>0.15</v>
      </c>
      <c r="F42" s="28">
        <f>0.4+0.02</f>
        <v>0.42000000000000004</v>
      </c>
      <c r="G42" s="28">
        <v>0.41</v>
      </c>
      <c r="H42" s="28">
        <v>0.52</v>
      </c>
      <c r="I42" s="28">
        <f>0.31+0.17+0.07</f>
        <v>0.55</v>
      </c>
      <c r="J42" s="28">
        <f>(I42-0.01)*1.1</f>
        <v>0.5940000000000001</v>
      </c>
      <c r="K42" s="28">
        <f>J42*1.1</f>
        <v>0.6534000000000001</v>
      </c>
      <c r="L42" s="240" t="s">
        <v>204</v>
      </c>
      <c r="M42" s="28">
        <f>0.355+0.252+0.0646+0.023</f>
        <v>0.6946</v>
      </c>
      <c r="N42" s="28"/>
      <c r="O42" s="101">
        <v>0.01</v>
      </c>
      <c r="P42" s="244"/>
    </row>
    <row r="43" spans="1:16" ht="15.75">
      <c r="A43" s="240"/>
      <c r="B43" s="240" t="s">
        <v>477</v>
      </c>
      <c r="C43" s="28" t="e">
        <f>'[4]Sheet1'!H77</f>
        <v>#REF!</v>
      </c>
      <c r="D43" s="28">
        <v>0.05</v>
      </c>
      <c r="E43" s="61">
        <f>D43*1.2</f>
        <v>0.06</v>
      </c>
      <c r="F43" s="28">
        <v>0.13</v>
      </c>
      <c r="G43" s="28">
        <v>0.16</v>
      </c>
      <c r="H43" s="28">
        <v>0.09</v>
      </c>
      <c r="I43" s="28">
        <v>0.07</v>
      </c>
      <c r="J43" s="28">
        <f>I43*1.1</f>
        <v>0.07700000000000001</v>
      </c>
      <c r="K43" s="28">
        <f>J43*1.1</f>
        <v>0.08470000000000003</v>
      </c>
      <c r="L43" s="242" t="s">
        <v>487</v>
      </c>
      <c r="M43" s="28">
        <v>0.0581</v>
      </c>
      <c r="N43" s="28"/>
      <c r="O43" s="101"/>
      <c r="P43" s="244"/>
    </row>
    <row r="44" spans="1:16" ht="15.75">
      <c r="A44" s="240"/>
      <c r="B44" s="240" t="s">
        <v>478</v>
      </c>
      <c r="C44" s="28" t="e">
        <f>'[4]Sheet1'!H78</f>
        <v>#REF!</v>
      </c>
      <c r="D44" s="28">
        <v>4.37</v>
      </c>
      <c r="E44" s="61">
        <v>5.74</v>
      </c>
      <c r="F44" s="28">
        <v>6.72</v>
      </c>
      <c r="G44" s="28">
        <v>9.06</v>
      </c>
      <c r="H44" s="28">
        <v>10.52</v>
      </c>
      <c r="I44" s="28">
        <v>2.3</v>
      </c>
      <c r="J44" s="28">
        <f>(I44-0.05)*1.1</f>
        <v>2.475</v>
      </c>
      <c r="K44" s="28">
        <f>J44*1.1</f>
        <v>2.7225</v>
      </c>
      <c r="L44" s="242" t="s">
        <v>487</v>
      </c>
      <c r="M44" s="28">
        <v>0.9428</v>
      </c>
      <c r="N44" s="28"/>
      <c r="O44" s="101">
        <v>0.05</v>
      </c>
      <c r="P44" s="244"/>
    </row>
    <row r="45" spans="1:16" ht="15.75">
      <c r="A45" s="240"/>
      <c r="B45" s="240" t="s">
        <v>934</v>
      </c>
      <c r="C45" s="28" t="e">
        <f>'[4]Sheet1'!H80</f>
        <v>#REF!</v>
      </c>
      <c r="D45" s="28">
        <v>0.07</v>
      </c>
      <c r="E45" s="61">
        <v>1.01</v>
      </c>
      <c r="F45" s="28">
        <v>1.11</v>
      </c>
      <c r="G45" s="28">
        <v>1.45</v>
      </c>
      <c r="H45" s="28">
        <v>1.67</v>
      </c>
      <c r="I45" s="28">
        <f>1.83+0.16</f>
        <v>1.99</v>
      </c>
      <c r="J45" s="28">
        <f>(I45-0.32)*1.1</f>
        <v>1.837</v>
      </c>
      <c r="K45" s="28">
        <f>J45*1.1</f>
        <v>2.0207</v>
      </c>
      <c r="L45" s="242" t="s">
        <v>487</v>
      </c>
      <c r="M45" s="28">
        <f>1.8222+0.1743</f>
        <v>1.9965000000000002</v>
      </c>
      <c r="N45" s="28"/>
      <c r="O45" s="101">
        <f>0.32</f>
        <v>0.32</v>
      </c>
      <c r="P45" s="244"/>
    </row>
    <row r="46" spans="1:16" ht="15.75">
      <c r="A46" s="240"/>
      <c r="B46" s="240" t="s">
        <v>92</v>
      </c>
      <c r="C46" s="28" t="e">
        <f>'[4]Sheet1'!H81</f>
        <v>#REF!</v>
      </c>
      <c r="D46" s="28">
        <v>1.37</v>
      </c>
      <c r="E46" s="61">
        <f>1.37</f>
        <v>1.37</v>
      </c>
      <c r="F46" s="28">
        <v>1.39</v>
      </c>
      <c r="G46" s="28">
        <v>1.29</v>
      </c>
      <c r="H46" s="28">
        <v>1.63</v>
      </c>
      <c r="I46" s="28">
        <v>1.45</v>
      </c>
      <c r="J46" s="28">
        <f>I46*1.1</f>
        <v>1.595</v>
      </c>
      <c r="K46" s="28">
        <f>J46*1.1</f>
        <v>1.7545000000000002</v>
      </c>
      <c r="L46" s="242" t="s">
        <v>487</v>
      </c>
      <c r="M46" s="28">
        <v>1.9233</v>
      </c>
      <c r="N46" s="28">
        <v>1.97</v>
      </c>
      <c r="O46" s="101"/>
      <c r="P46" s="244"/>
    </row>
    <row r="47" spans="1:16" ht="15.75">
      <c r="A47" s="240"/>
      <c r="B47" s="240" t="s">
        <v>1006</v>
      </c>
      <c r="C47" s="28" t="e">
        <f>'[4]Sheet1'!H82</f>
        <v>#REF!</v>
      </c>
      <c r="D47" s="28">
        <v>0</v>
      </c>
      <c r="E47" s="61">
        <f>D47*1.2</f>
        <v>0</v>
      </c>
      <c r="F47" s="28">
        <v>0</v>
      </c>
      <c r="G47" s="28">
        <f>F47*1.2</f>
        <v>0</v>
      </c>
      <c r="H47" s="28">
        <v>1.38</v>
      </c>
      <c r="I47" s="28">
        <v>1.56</v>
      </c>
      <c r="J47" s="28">
        <v>1.56</v>
      </c>
      <c r="K47" s="28">
        <v>1.56</v>
      </c>
      <c r="L47" s="222" t="s">
        <v>1005</v>
      </c>
      <c r="M47" s="28"/>
      <c r="N47" s="28"/>
      <c r="O47" s="101"/>
      <c r="P47" s="244"/>
    </row>
    <row r="48" spans="1:16" ht="15.75">
      <c r="A48" s="240"/>
      <c r="B48" s="240" t="s">
        <v>479</v>
      </c>
      <c r="C48" s="28" t="e">
        <f>'[4]Sheet1'!H83</f>
        <v>#REF!</v>
      </c>
      <c r="D48" s="28">
        <v>0.05</v>
      </c>
      <c r="E48" s="61">
        <v>0.13</v>
      </c>
      <c r="F48" s="28">
        <v>0.28</v>
      </c>
      <c r="G48" s="28">
        <v>0.36</v>
      </c>
      <c r="H48" s="28">
        <v>0.69</v>
      </c>
      <c r="I48" s="28">
        <v>0.43</v>
      </c>
      <c r="J48" s="28">
        <f>(I48-0.06)*1.1</f>
        <v>0.40700000000000003</v>
      </c>
      <c r="K48" s="28">
        <f>J48*1.1</f>
        <v>0.44770000000000004</v>
      </c>
      <c r="L48" s="240" t="s">
        <v>204</v>
      </c>
      <c r="M48" s="28">
        <v>0.4964</v>
      </c>
      <c r="N48" s="28"/>
      <c r="O48" s="101">
        <v>0.06</v>
      </c>
      <c r="P48" s="244"/>
    </row>
    <row r="49" spans="1:16" ht="15.75">
      <c r="A49" s="240"/>
      <c r="B49" s="240" t="s">
        <v>1269</v>
      </c>
      <c r="C49" s="28">
        <v>2.13</v>
      </c>
      <c r="D49" s="28">
        <v>0.06</v>
      </c>
      <c r="E49" s="61">
        <v>0.26</v>
      </c>
      <c r="F49" s="28">
        <v>0.5</v>
      </c>
      <c r="G49" s="28">
        <v>0.01</v>
      </c>
      <c r="H49" s="28">
        <v>0.01</v>
      </c>
      <c r="I49" s="28"/>
      <c r="J49" s="28">
        <v>0</v>
      </c>
      <c r="K49" s="28">
        <f>J49*1.1</f>
        <v>0</v>
      </c>
      <c r="L49" s="242" t="s">
        <v>487</v>
      </c>
      <c r="M49" s="28">
        <v>0</v>
      </c>
      <c r="N49" s="28"/>
      <c r="O49" s="101"/>
      <c r="P49" s="244"/>
    </row>
    <row r="50" spans="1:16" ht="15.75">
      <c r="A50" s="240"/>
      <c r="B50" s="240" t="s">
        <v>1270</v>
      </c>
      <c r="C50" s="28"/>
      <c r="D50" s="28"/>
      <c r="E50" s="61">
        <v>0.2</v>
      </c>
      <c r="F50" s="28">
        <v>0.2</v>
      </c>
      <c r="G50" s="28">
        <v>0.24</v>
      </c>
      <c r="H50" s="28">
        <v>0.39</v>
      </c>
      <c r="I50" s="28">
        <v>0.5</v>
      </c>
      <c r="J50" s="28">
        <f>I50*1.1</f>
        <v>0.55</v>
      </c>
      <c r="K50" s="28">
        <f>J50*1.1</f>
        <v>0.6050000000000001</v>
      </c>
      <c r="L50" s="242" t="s">
        <v>487</v>
      </c>
      <c r="M50" s="28">
        <f>0.5058+0.0148</f>
        <v>0.5206000000000001</v>
      </c>
      <c r="N50" s="28"/>
      <c r="O50" s="101"/>
      <c r="P50" s="244"/>
    </row>
    <row r="51" spans="1:16" ht="15.75">
      <c r="A51" s="240"/>
      <c r="B51" s="240" t="s">
        <v>532</v>
      </c>
      <c r="C51" s="28"/>
      <c r="D51" s="28">
        <v>0.3</v>
      </c>
      <c r="E51" s="61">
        <v>0.3</v>
      </c>
      <c r="F51" s="28">
        <v>0.3</v>
      </c>
      <c r="G51" s="28">
        <v>0.3</v>
      </c>
      <c r="H51" s="28">
        <v>0</v>
      </c>
      <c r="I51" s="28"/>
      <c r="J51" s="28"/>
      <c r="K51" s="28">
        <v>0</v>
      </c>
      <c r="L51" s="242"/>
      <c r="M51" s="28"/>
      <c r="N51" s="28"/>
      <c r="O51" s="101"/>
      <c r="P51" s="244"/>
    </row>
    <row r="52" spans="1:16" ht="15.75">
      <c r="A52" s="240"/>
      <c r="B52" s="240" t="s">
        <v>958</v>
      </c>
      <c r="C52" s="28"/>
      <c r="D52" s="28"/>
      <c r="E52" s="61">
        <v>0.01</v>
      </c>
      <c r="F52" s="28">
        <v>0.01</v>
      </c>
      <c r="G52" s="28">
        <v>0.01</v>
      </c>
      <c r="H52" s="28">
        <v>0</v>
      </c>
      <c r="I52" s="28"/>
      <c r="J52" s="28">
        <v>0.01</v>
      </c>
      <c r="K52" s="28">
        <v>0.01</v>
      </c>
      <c r="L52" s="222" t="s">
        <v>1200</v>
      </c>
      <c r="M52" s="28"/>
      <c r="N52" s="28"/>
      <c r="O52" s="101"/>
      <c r="P52" s="244"/>
    </row>
    <row r="53" spans="1:16" ht="15.75">
      <c r="A53" s="240"/>
      <c r="B53" s="240" t="s">
        <v>1271</v>
      </c>
      <c r="C53" s="28"/>
      <c r="D53" s="28"/>
      <c r="E53" s="61">
        <v>0.18</v>
      </c>
      <c r="F53" s="28">
        <v>0.03</v>
      </c>
      <c r="G53" s="28">
        <v>0.02</v>
      </c>
      <c r="H53" s="28">
        <v>0.02</v>
      </c>
      <c r="I53" s="28">
        <v>0.03</v>
      </c>
      <c r="J53" s="28">
        <f>I53*1.1</f>
        <v>0.033</v>
      </c>
      <c r="K53" s="28">
        <f>J53*1.1</f>
        <v>0.036300000000000006</v>
      </c>
      <c r="L53" s="240" t="s">
        <v>34</v>
      </c>
      <c r="M53" s="28">
        <v>0.0409</v>
      </c>
      <c r="N53" s="28"/>
      <c r="O53" s="101"/>
      <c r="P53" s="244"/>
    </row>
    <row r="54" spans="1:16" ht="15.75">
      <c r="A54" s="240"/>
      <c r="B54" s="240" t="s">
        <v>486</v>
      </c>
      <c r="C54" s="28">
        <v>26.3</v>
      </c>
      <c r="D54" s="28">
        <v>4.57</v>
      </c>
      <c r="E54" s="61">
        <v>0.92</v>
      </c>
      <c r="F54" s="28">
        <v>0.11</v>
      </c>
      <c r="G54" s="28">
        <v>4.47</v>
      </c>
      <c r="H54" s="28">
        <v>8.12</v>
      </c>
      <c r="I54" s="28"/>
      <c r="J54" s="28"/>
      <c r="K54" s="28"/>
      <c r="L54" s="240"/>
      <c r="M54" s="28"/>
      <c r="N54" s="28"/>
      <c r="O54" s="101"/>
      <c r="P54" s="244"/>
    </row>
    <row r="55" spans="1:16" s="372" customFormat="1" ht="15.75" hidden="1">
      <c r="A55" s="373"/>
      <c r="B55" s="373"/>
      <c r="C55" s="374"/>
      <c r="D55" s="374"/>
      <c r="E55" s="375"/>
      <c r="F55" s="374"/>
      <c r="G55" s="374"/>
      <c r="H55" s="374"/>
      <c r="I55" s="374"/>
      <c r="J55" s="374"/>
      <c r="K55" s="374"/>
      <c r="L55" s="373"/>
      <c r="M55" s="374"/>
      <c r="N55" s="374"/>
      <c r="O55" s="376"/>
      <c r="P55" s="377"/>
    </row>
    <row r="56" spans="1:16" ht="30.75" customHeight="1">
      <c r="A56" s="240"/>
      <c r="B56" s="240" t="s">
        <v>731</v>
      </c>
      <c r="C56" s="28"/>
      <c r="D56" s="28"/>
      <c r="E56" s="61"/>
      <c r="F56" s="28"/>
      <c r="G56" s="28"/>
      <c r="H56" s="28">
        <v>0.62</v>
      </c>
      <c r="I56" s="28">
        <v>0.7</v>
      </c>
      <c r="J56" s="28">
        <v>0.7044</v>
      </c>
      <c r="K56" s="28">
        <v>0.7</v>
      </c>
      <c r="L56" s="328" t="s">
        <v>205</v>
      </c>
      <c r="M56" s="28">
        <v>0.7044</v>
      </c>
      <c r="N56" s="28"/>
      <c r="O56" s="101"/>
      <c r="P56" s="244"/>
    </row>
    <row r="57" spans="1:16" ht="15.75">
      <c r="A57" s="240"/>
      <c r="B57" s="240" t="s">
        <v>1113</v>
      </c>
      <c r="C57" s="28" t="e">
        <f>'[4]Sheet1'!H79</f>
        <v>#REF!</v>
      </c>
      <c r="D57" s="28">
        <v>1.16</v>
      </c>
      <c r="E57" s="61">
        <v>0.325</v>
      </c>
      <c r="F57" s="28">
        <v>0.28</v>
      </c>
      <c r="G57" s="28">
        <v>0.35</v>
      </c>
      <c r="H57" s="28">
        <v>0.3</v>
      </c>
      <c r="I57" s="28">
        <v>0.4</v>
      </c>
      <c r="J57" s="28">
        <v>0.4</v>
      </c>
      <c r="K57" s="28">
        <f>J57</f>
        <v>0.4</v>
      </c>
      <c r="L57" s="222" t="s">
        <v>1200</v>
      </c>
      <c r="M57" s="28">
        <f>0.3048+0.0843+0.01+0.6+0.0029+0.0087+0.0005+0.05</f>
        <v>1.0612</v>
      </c>
      <c r="N57" s="28"/>
      <c r="O57" s="101"/>
      <c r="P57" s="244"/>
    </row>
    <row r="58" spans="1:16" ht="15.75">
      <c r="A58" s="240"/>
      <c r="B58" s="243" t="s">
        <v>1147</v>
      </c>
      <c r="C58" s="61" t="e">
        <f>SUM(C38:C54)</f>
        <v>#REF!</v>
      </c>
      <c r="D58" s="61" t="e">
        <f>SUM(D38:D54)</f>
        <v>#REF!</v>
      </c>
      <c r="E58" s="61">
        <f aca="true" t="shared" si="9" ref="E58:K58">SUM(E38:E57)</f>
        <v>11.094999999999999</v>
      </c>
      <c r="F58" s="61">
        <f t="shared" si="9"/>
        <v>12.089999999999998</v>
      </c>
      <c r="G58" s="61">
        <f t="shared" si="9"/>
        <v>18.520000000000003</v>
      </c>
      <c r="H58" s="61">
        <f t="shared" si="9"/>
        <v>26.560000000000002</v>
      </c>
      <c r="I58" s="61">
        <f t="shared" si="9"/>
        <v>10.569999999999999</v>
      </c>
      <c r="J58" s="61">
        <f t="shared" si="9"/>
        <v>10.7594</v>
      </c>
      <c r="K58" s="61">
        <f t="shared" si="9"/>
        <v>11.563500000000001</v>
      </c>
      <c r="L58" s="240"/>
      <c r="M58" s="61">
        <f>SUM(M38:M57)</f>
        <v>9.132</v>
      </c>
      <c r="N58" s="61">
        <f>SUM(N38:N57)</f>
        <v>1.97</v>
      </c>
      <c r="O58" s="101"/>
      <c r="P58" s="244"/>
    </row>
    <row r="59" spans="1:14" ht="15.75">
      <c r="A59" s="240">
        <v>76.2</v>
      </c>
      <c r="B59" s="241" t="s">
        <v>480</v>
      </c>
      <c r="C59" s="28"/>
      <c r="D59" s="28"/>
      <c r="E59" s="61"/>
      <c r="F59" s="28"/>
      <c r="G59" s="28"/>
      <c r="H59" s="28"/>
      <c r="I59" s="28"/>
      <c r="J59" s="28"/>
      <c r="K59" s="28"/>
      <c r="L59" s="240"/>
      <c r="M59" s="28"/>
      <c r="N59" s="28"/>
    </row>
    <row r="60" spans="1:14" ht="15.75">
      <c r="A60" s="240"/>
      <c r="B60" s="240" t="s">
        <v>530</v>
      </c>
      <c r="C60" s="28"/>
      <c r="D60" s="28">
        <v>6.63</v>
      </c>
      <c r="E60" s="61"/>
      <c r="F60" s="28"/>
      <c r="G60" s="28"/>
      <c r="H60" s="28"/>
      <c r="I60" s="28"/>
      <c r="J60" s="28">
        <v>0</v>
      </c>
      <c r="K60" s="28"/>
      <c r="L60" s="240"/>
      <c r="M60" s="28">
        <v>0.0029</v>
      </c>
      <c r="N60" s="28"/>
    </row>
    <row r="61" spans="1:14" ht="15.75">
      <c r="A61" s="240"/>
      <c r="B61" s="240" t="s">
        <v>531</v>
      </c>
      <c r="C61" s="28"/>
      <c r="D61" s="28">
        <v>0.04</v>
      </c>
      <c r="E61" s="61">
        <v>0.28</v>
      </c>
      <c r="F61" s="28">
        <v>0.3</v>
      </c>
      <c r="G61" s="28">
        <v>0.15</v>
      </c>
      <c r="H61" s="28">
        <v>0</v>
      </c>
      <c r="I61" s="374">
        <v>0</v>
      </c>
      <c r="J61" s="374">
        <v>0</v>
      </c>
      <c r="K61" s="28">
        <v>0</v>
      </c>
      <c r="L61" s="222" t="s">
        <v>1200</v>
      </c>
      <c r="M61" s="374">
        <v>0</v>
      </c>
      <c r="N61" s="374"/>
    </row>
    <row r="62" spans="1:14" ht="40.5" customHeight="1">
      <c r="A62" s="240"/>
      <c r="B62" s="328" t="s">
        <v>633</v>
      </c>
      <c r="C62" s="28"/>
      <c r="D62" s="28">
        <v>0.22</v>
      </c>
      <c r="E62" s="61">
        <v>1.11</v>
      </c>
      <c r="F62" s="28">
        <v>0</v>
      </c>
      <c r="G62" s="28">
        <v>0.1</v>
      </c>
      <c r="H62" s="28">
        <v>0.01</v>
      </c>
      <c r="I62" s="28"/>
      <c r="J62" s="28">
        <f>I62*1.1</f>
        <v>0</v>
      </c>
      <c r="K62" s="28">
        <f>J62*1.1</f>
        <v>0</v>
      </c>
      <c r="L62" s="240"/>
      <c r="M62" s="28">
        <v>0</v>
      </c>
      <c r="N62" s="28">
        <f>M62*1.1</f>
        <v>0</v>
      </c>
    </row>
    <row r="63" spans="1:14" ht="15.75">
      <c r="A63" s="240"/>
      <c r="B63" s="240" t="s">
        <v>470</v>
      </c>
      <c r="C63" s="28" t="e">
        <f>'[4]Sheet1'!$H$90+'[4]Sheet1'!$H$91+'[4]Sheet1'!$H$94-(13.5-13.27)</f>
        <v>#REF!</v>
      </c>
      <c r="D63" s="28">
        <v>3.92</v>
      </c>
      <c r="E63" s="61">
        <v>0.01</v>
      </c>
      <c r="F63" s="28">
        <v>0.1</v>
      </c>
      <c r="G63" s="28">
        <v>0.25</v>
      </c>
      <c r="H63" s="28">
        <v>0</v>
      </c>
      <c r="I63" s="28"/>
      <c r="J63" s="28">
        <v>0.05</v>
      </c>
      <c r="K63" s="28">
        <v>0.05</v>
      </c>
      <c r="L63" s="222" t="s">
        <v>1200</v>
      </c>
      <c r="M63" s="28">
        <v>0.05</v>
      </c>
      <c r="N63" s="28"/>
    </row>
    <row r="64" spans="1:14" ht="15.75">
      <c r="A64" s="240"/>
      <c r="B64" s="243" t="s">
        <v>1147</v>
      </c>
      <c r="C64" s="61" t="e">
        <f aca="true" t="shared" si="10" ref="C64:N64">SUM(C60:C63)</f>
        <v>#REF!</v>
      </c>
      <c r="D64" s="61">
        <f t="shared" si="10"/>
        <v>10.809999999999999</v>
      </c>
      <c r="E64" s="61">
        <f t="shared" si="10"/>
        <v>1.4000000000000001</v>
      </c>
      <c r="F64" s="61">
        <f t="shared" si="10"/>
        <v>0.4</v>
      </c>
      <c r="G64" s="61">
        <f t="shared" si="10"/>
        <v>0.5</v>
      </c>
      <c r="H64" s="61">
        <f t="shared" si="10"/>
        <v>0.01</v>
      </c>
      <c r="I64" s="61">
        <f t="shared" si="10"/>
        <v>0</v>
      </c>
      <c r="J64" s="61">
        <f t="shared" si="10"/>
        <v>0.05</v>
      </c>
      <c r="K64" s="61">
        <f t="shared" si="10"/>
        <v>0.05</v>
      </c>
      <c r="L64" s="240"/>
      <c r="M64" s="61">
        <f t="shared" si="10"/>
        <v>0.0529</v>
      </c>
      <c r="N64" s="61">
        <f t="shared" si="10"/>
        <v>0</v>
      </c>
    </row>
    <row r="65" spans="1:14" ht="11.25" customHeight="1">
      <c r="A65" s="240"/>
      <c r="B65" s="240"/>
      <c r="C65" s="61"/>
      <c r="D65" s="61"/>
      <c r="E65" s="61"/>
      <c r="F65" s="61"/>
      <c r="G65" s="61"/>
      <c r="H65" s="61"/>
      <c r="I65" s="61"/>
      <c r="J65" s="61"/>
      <c r="K65" s="61"/>
      <c r="L65" s="240"/>
      <c r="M65" s="61"/>
      <c r="N65" s="61"/>
    </row>
    <row r="66" spans="1:14" ht="15.75">
      <c r="A66" s="240"/>
      <c r="B66" s="240" t="s">
        <v>569</v>
      </c>
      <c r="C66" s="28">
        <v>0.5</v>
      </c>
      <c r="D66" s="28">
        <v>0.5</v>
      </c>
      <c r="E66" s="61">
        <v>0.5</v>
      </c>
      <c r="F66" s="28">
        <v>0.5</v>
      </c>
      <c r="G66" s="28">
        <v>1</v>
      </c>
      <c r="H66" s="28">
        <v>1</v>
      </c>
      <c r="I66" s="28">
        <v>1</v>
      </c>
      <c r="J66" s="28">
        <v>1.2507</v>
      </c>
      <c r="K66" s="28">
        <f>J66</f>
        <v>1.2507</v>
      </c>
      <c r="L66" s="240" t="s">
        <v>1005</v>
      </c>
      <c r="M66" s="28">
        <v>1.2507</v>
      </c>
      <c r="N66" s="28">
        <v>1.2507</v>
      </c>
    </row>
    <row r="67" spans="1:14" ht="10.5" customHeight="1">
      <c r="A67" s="240"/>
      <c r="B67" s="240"/>
      <c r="C67" s="61"/>
      <c r="D67" s="61"/>
      <c r="E67" s="61"/>
      <c r="F67" s="61"/>
      <c r="G67" s="61"/>
      <c r="H67" s="61"/>
      <c r="I67" s="61"/>
      <c r="J67" s="61"/>
      <c r="K67" s="61"/>
      <c r="L67" s="240"/>
      <c r="M67" s="61"/>
      <c r="N67" s="61"/>
    </row>
    <row r="68" spans="1:14" ht="15.75">
      <c r="A68" s="240"/>
      <c r="B68" s="243" t="s">
        <v>1127</v>
      </c>
      <c r="C68" s="61" t="e">
        <f aca="true" t="shared" si="11" ref="C68:K68">C64+C58+C36+C30+C23+C17+C66</f>
        <v>#REF!</v>
      </c>
      <c r="D68" s="61" t="e">
        <f t="shared" si="11"/>
        <v>#REF!</v>
      </c>
      <c r="E68" s="61" t="e">
        <f t="shared" si="11"/>
        <v>#REF!</v>
      </c>
      <c r="F68" s="61">
        <f t="shared" si="11"/>
        <v>18.238</v>
      </c>
      <c r="G68" s="61">
        <f t="shared" si="11"/>
        <v>26.68</v>
      </c>
      <c r="H68" s="61">
        <f t="shared" si="11"/>
        <v>34.13</v>
      </c>
      <c r="I68" s="61">
        <f t="shared" si="11"/>
        <v>20.18</v>
      </c>
      <c r="J68" s="61">
        <f t="shared" si="11"/>
        <v>21.353099999999998</v>
      </c>
      <c r="K68" s="61">
        <f t="shared" si="11"/>
        <v>23.0908</v>
      </c>
      <c r="L68" s="240"/>
      <c r="M68" s="61">
        <f>M64+M58+M36+M30+M23+M17+M66</f>
        <v>19.912499999999998</v>
      </c>
      <c r="N68" s="61">
        <f>N64+N58+N36+N30+N23+N17+N66</f>
        <v>21.2507</v>
      </c>
    </row>
    <row r="69" spans="1:14" ht="15.75">
      <c r="A69" s="240">
        <v>76.9</v>
      </c>
      <c r="B69" s="240" t="s">
        <v>403</v>
      </c>
      <c r="C69" s="28">
        <f>5.28-4.14</f>
        <v>1.1400000000000006</v>
      </c>
      <c r="D69" s="28">
        <v>0.53</v>
      </c>
      <c r="E69" s="61">
        <v>0.05</v>
      </c>
      <c r="F69" s="28">
        <v>0.01</v>
      </c>
      <c r="G69" s="28">
        <v>0</v>
      </c>
      <c r="H69" s="28">
        <v>0</v>
      </c>
      <c r="I69" s="28"/>
      <c r="J69" s="28">
        <v>0</v>
      </c>
      <c r="K69" s="28">
        <v>0</v>
      </c>
      <c r="L69" s="240"/>
      <c r="M69" s="28">
        <v>0</v>
      </c>
      <c r="N69" s="28">
        <v>0</v>
      </c>
    </row>
    <row r="70" spans="1:14" s="239" customFormat="1" ht="15.75">
      <c r="A70" s="241"/>
      <c r="B70" s="241" t="s">
        <v>404</v>
      </c>
      <c r="C70" s="61" t="e">
        <f aca="true" t="shared" si="12" ref="C70:N70">C68-C69</f>
        <v>#REF!</v>
      </c>
      <c r="D70" s="61" t="e">
        <f t="shared" si="12"/>
        <v>#REF!</v>
      </c>
      <c r="E70" s="61" t="e">
        <f t="shared" si="12"/>
        <v>#REF!</v>
      </c>
      <c r="F70" s="61">
        <f t="shared" si="12"/>
        <v>18.227999999999998</v>
      </c>
      <c r="G70" s="61">
        <f t="shared" si="12"/>
        <v>26.68</v>
      </c>
      <c r="H70" s="61">
        <f t="shared" si="12"/>
        <v>34.13</v>
      </c>
      <c r="I70" s="61">
        <f t="shared" si="12"/>
        <v>20.18</v>
      </c>
      <c r="J70" s="61">
        <f t="shared" si="12"/>
        <v>21.353099999999998</v>
      </c>
      <c r="K70" s="61">
        <f t="shared" si="12"/>
        <v>23.0908</v>
      </c>
      <c r="L70" s="241"/>
      <c r="M70" s="61">
        <f t="shared" si="12"/>
        <v>19.912499999999998</v>
      </c>
      <c r="N70" s="61">
        <f t="shared" si="12"/>
        <v>21.2507</v>
      </c>
    </row>
    <row r="71" spans="3:12" ht="15.75">
      <c r="C71" s="101"/>
      <c r="D71" s="101"/>
      <c r="E71" s="245"/>
      <c r="F71" s="101"/>
      <c r="G71" s="101"/>
      <c r="H71" s="101"/>
      <c r="I71" s="101"/>
      <c r="J71" s="101"/>
      <c r="K71" s="101"/>
      <c r="L71" s="246"/>
    </row>
    <row r="72" spans="3:12" ht="15.75">
      <c r="C72" s="101"/>
      <c r="D72" s="101"/>
      <c r="E72" s="245"/>
      <c r="F72" s="101"/>
      <c r="G72" s="101"/>
      <c r="H72" s="101"/>
      <c r="I72" s="101"/>
      <c r="J72" s="101"/>
      <c r="K72" s="101"/>
      <c r="L72" s="246"/>
    </row>
    <row r="73" spans="2:4" ht="15.75">
      <c r="B73" s="247"/>
      <c r="C73" s="29"/>
      <c r="D73" s="29"/>
    </row>
    <row r="74" spans="4:11" ht="15.75">
      <c r="D74" s="29"/>
      <c r="E74" s="248"/>
      <c r="F74" s="29"/>
      <c r="G74" s="29"/>
      <c r="H74" s="29"/>
      <c r="I74" s="29"/>
      <c r="J74" s="29"/>
      <c r="K74" s="29"/>
    </row>
    <row r="75" spans="5:11" ht="15.75">
      <c r="E75" s="248"/>
      <c r="F75" s="29"/>
      <c r="G75" s="29"/>
      <c r="H75" s="29"/>
      <c r="I75" s="29"/>
      <c r="J75" s="29"/>
      <c r="K75" s="29"/>
    </row>
    <row r="76" spans="5:11" ht="15.75">
      <c r="E76" s="248"/>
      <c r="F76" s="29"/>
      <c r="G76" s="29"/>
      <c r="H76" s="29"/>
      <c r="I76" s="29"/>
      <c r="J76" s="29"/>
      <c r="K76" s="29"/>
    </row>
    <row r="77" ht="15.75">
      <c r="E77" s="239">
        <f>0.01+1.19+0.05</f>
        <v>1.25</v>
      </c>
    </row>
    <row r="82" ht="15.75">
      <c r="D82" s="29"/>
    </row>
  </sheetData>
  <sheetProtection/>
  <mergeCells count="1">
    <mergeCell ref="A7:L7"/>
  </mergeCells>
  <printOptions horizontalCentered="1"/>
  <pageMargins left="0.17" right="0.18" top="0.26" bottom="0.22" header="0.24" footer="0.09"/>
  <pageSetup horizontalDpi="600" verticalDpi="600" orientation="portrait" paperSize="9" scale="69" r:id="rId1"/>
  <headerFooter alignWithMargins="0">
    <oddFooter>&amp;L&amp;F&amp;CPage- &amp;P of &amp;P&amp;R&amp;D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S129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13.140625" style="220" customWidth="1"/>
    <col min="2" max="2" width="15.7109375" style="220" customWidth="1"/>
    <col min="3" max="3" width="0.71875" style="220" hidden="1" customWidth="1"/>
    <col min="4" max="4" width="10.140625" style="220" customWidth="1"/>
    <col min="5" max="5" width="8.28125" style="220" customWidth="1"/>
    <col min="6" max="6" width="8.7109375" style="220" customWidth="1"/>
    <col min="7" max="7" width="8.00390625" style="220" customWidth="1"/>
    <col min="8" max="8" width="7.8515625" style="220" customWidth="1"/>
    <col min="9" max="9" width="8.00390625" style="220" customWidth="1"/>
    <col min="10" max="10" width="7.57421875" style="220" customWidth="1"/>
    <col min="11" max="11" width="11.421875" style="220" customWidth="1"/>
    <col min="12" max="12" width="8.57421875" style="220" customWidth="1"/>
    <col min="13" max="13" width="8.7109375" style="220" customWidth="1"/>
    <col min="14" max="14" width="11.140625" style="220" customWidth="1"/>
    <col min="15" max="15" width="9.28125" style="220" customWidth="1"/>
    <col min="16" max="16" width="6.8515625" style="220" customWidth="1"/>
    <col min="17" max="17" width="6.421875" style="220" customWidth="1"/>
    <col min="18" max="18" width="6.140625" style="220" customWidth="1"/>
    <col min="19" max="19" width="11.8515625" style="220" customWidth="1"/>
    <col min="20" max="16384" width="9.140625" style="220" customWidth="1"/>
  </cols>
  <sheetData>
    <row r="1" ht="15.75">
      <c r="Q1" s="239"/>
    </row>
    <row r="2" spans="1:17" ht="15">
      <c r="A2" s="67" t="s">
        <v>1398</v>
      </c>
      <c r="Q2" s="85" t="s">
        <v>488</v>
      </c>
    </row>
    <row r="3" spans="1:19" ht="12.75">
      <c r="A3" s="560" t="s">
        <v>492</v>
      </c>
      <c r="B3" s="560"/>
      <c r="C3" s="560"/>
      <c r="D3" s="560"/>
      <c r="E3" s="560"/>
      <c r="F3" s="560"/>
      <c r="G3" s="560"/>
      <c r="H3" s="560"/>
      <c r="I3" s="560"/>
      <c r="J3" s="560"/>
      <c r="K3" s="560"/>
      <c r="L3" s="560"/>
      <c r="M3" s="560"/>
      <c r="N3" s="560"/>
      <c r="O3" s="560"/>
      <c r="P3" s="560"/>
      <c r="Q3" s="560"/>
      <c r="R3" s="560"/>
      <c r="S3" s="560"/>
    </row>
    <row r="4" ht="8.25" customHeight="1" hidden="1"/>
    <row r="5" spans="1:17" ht="12.75" hidden="1">
      <c r="A5" s="228" t="s">
        <v>927</v>
      </c>
      <c r="Q5" s="298" t="s">
        <v>857</v>
      </c>
    </row>
    <row r="6" ht="7.5" customHeight="1" hidden="1"/>
    <row r="7" spans="1:19" ht="89.25" hidden="1">
      <c r="A7" s="317" t="s">
        <v>814</v>
      </c>
      <c r="B7" s="317" t="s">
        <v>493</v>
      </c>
      <c r="C7" s="317"/>
      <c r="D7" s="317" t="s">
        <v>815</v>
      </c>
      <c r="E7" s="317" t="s">
        <v>494</v>
      </c>
      <c r="F7" s="317" t="s">
        <v>816</v>
      </c>
      <c r="G7" s="317" t="s">
        <v>495</v>
      </c>
      <c r="H7" s="317" t="s">
        <v>1247</v>
      </c>
      <c r="I7" s="317" t="s">
        <v>496</v>
      </c>
      <c r="J7" s="317" t="s">
        <v>668</v>
      </c>
      <c r="K7" s="317" t="s">
        <v>669</v>
      </c>
      <c r="L7" s="317" t="s">
        <v>670</v>
      </c>
      <c r="M7" s="317" t="s">
        <v>498</v>
      </c>
      <c r="N7" s="317" t="s">
        <v>671</v>
      </c>
      <c r="O7" s="317" t="s">
        <v>672</v>
      </c>
      <c r="P7" s="317" t="s">
        <v>1295</v>
      </c>
      <c r="Q7" s="317" t="s">
        <v>1296</v>
      </c>
      <c r="R7" s="317" t="s">
        <v>505</v>
      </c>
      <c r="S7" s="317" t="s">
        <v>1297</v>
      </c>
    </row>
    <row r="8" spans="1:19" ht="9" customHeight="1" hidden="1">
      <c r="A8" s="318"/>
      <c r="B8" s="318"/>
      <c r="C8" s="318"/>
      <c r="D8" s="318"/>
      <c r="E8" s="318"/>
      <c r="F8" s="318"/>
      <c r="G8" s="318"/>
      <c r="H8" s="318"/>
      <c r="I8" s="318"/>
      <c r="J8" s="318"/>
      <c r="K8" s="318"/>
      <c r="L8" s="318"/>
      <c r="M8" s="318"/>
      <c r="N8" s="318"/>
      <c r="O8" s="318"/>
      <c r="P8" s="318"/>
      <c r="Q8" s="318"/>
      <c r="R8" s="318"/>
      <c r="S8" s="318"/>
    </row>
    <row r="9" spans="1:19" ht="25.5" hidden="1">
      <c r="A9" s="317" t="str">
        <f>'TRF-3'!B70</f>
        <v>Union Bank of India </v>
      </c>
      <c r="B9" s="317" t="s">
        <v>1298</v>
      </c>
      <c r="C9" s="317"/>
      <c r="D9" s="319">
        <v>100</v>
      </c>
      <c r="E9" s="319"/>
      <c r="F9" s="319">
        <v>100</v>
      </c>
      <c r="G9" s="319"/>
      <c r="H9" s="320">
        <f>'TRF-3'!C70</f>
        <v>0.0825</v>
      </c>
      <c r="I9" s="319" t="s">
        <v>538</v>
      </c>
      <c r="J9" s="319" t="s">
        <v>1239</v>
      </c>
      <c r="K9" s="319">
        <f>F9-98.8</f>
        <v>1.2000000000000028</v>
      </c>
      <c r="L9" s="319">
        <v>14.37</v>
      </c>
      <c r="M9" s="319">
        <f>K9+L9</f>
        <v>15.570000000000002</v>
      </c>
      <c r="N9" s="319">
        <f>F9-K9</f>
        <v>98.8</v>
      </c>
      <c r="O9" s="319">
        <f>F9-M9</f>
        <v>84.42999999999999</v>
      </c>
      <c r="P9" s="319">
        <v>7.6</v>
      </c>
      <c r="Q9" s="319">
        <v>0</v>
      </c>
      <c r="R9" s="319">
        <v>0</v>
      </c>
      <c r="S9" s="319">
        <v>0</v>
      </c>
    </row>
    <row r="10" spans="1:19" ht="25.5" hidden="1">
      <c r="A10" s="317" t="str">
        <f>'TRF-3'!B71</f>
        <v>HUDCO</v>
      </c>
      <c r="B10" s="317" t="s">
        <v>1298</v>
      </c>
      <c r="C10" s="317"/>
      <c r="D10" s="319">
        <v>300</v>
      </c>
      <c r="E10" s="319"/>
      <c r="F10" s="319">
        <v>300</v>
      </c>
      <c r="G10" s="319"/>
      <c r="H10" s="320">
        <v>0.1</v>
      </c>
      <c r="I10" s="319" t="s">
        <v>1237</v>
      </c>
      <c r="J10" s="319" t="s">
        <v>1240</v>
      </c>
      <c r="K10" s="319">
        <f>300-252.63</f>
        <v>47.370000000000005</v>
      </c>
      <c r="L10" s="319">
        <v>28.87</v>
      </c>
      <c r="M10" s="319">
        <f>K10+L10</f>
        <v>76.24000000000001</v>
      </c>
      <c r="N10" s="319">
        <f>F10-K10</f>
        <v>252.63</v>
      </c>
      <c r="O10" s="319">
        <f>F10-M10</f>
        <v>223.76</v>
      </c>
      <c r="P10" s="319">
        <v>19.29</v>
      </c>
      <c r="Q10" s="319">
        <v>0</v>
      </c>
      <c r="R10" s="319">
        <v>0</v>
      </c>
      <c r="S10" s="319">
        <v>0</v>
      </c>
    </row>
    <row r="11" spans="1:19" ht="25.5" hidden="1">
      <c r="A11" s="317" t="str">
        <f>'TRF-3'!B72</f>
        <v>UCO Bank</v>
      </c>
      <c r="B11" s="317" t="s">
        <v>1298</v>
      </c>
      <c r="C11" s="317"/>
      <c r="D11" s="319">
        <v>200</v>
      </c>
      <c r="E11" s="319"/>
      <c r="F11" s="319">
        <v>200</v>
      </c>
      <c r="G11" s="319"/>
      <c r="H11" s="320">
        <v>0.0775</v>
      </c>
      <c r="I11" s="319" t="s">
        <v>538</v>
      </c>
      <c r="J11" s="319" t="s">
        <v>1241</v>
      </c>
      <c r="K11" s="319">
        <v>0</v>
      </c>
      <c r="L11" s="319">
        <v>19.47</v>
      </c>
      <c r="M11" s="319">
        <f>K11+L11</f>
        <v>19.47</v>
      </c>
      <c r="N11" s="319">
        <f>F11-K11</f>
        <v>200</v>
      </c>
      <c r="O11" s="319">
        <f>F11-M11</f>
        <v>180.53</v>
      </c>
      <c r="P11" s="319">
        <v>15.12</v>
      </c>
      <c r="Q11" s="319">
        <v>0</v>
      </c>
      <c r="R11" s="319">
        <v>0</v>
      </c>
      <c r="S11" s="319">
        <v>0</v>
      </c>
    </row>
    <row r="12" spans="1:19" ht="25.5" hidden="1">
      <c r="A12" s="317" t="str">
        <f>'TRF-3'!B73</f>
        <v>Oriental Bank of Commerce</v>
      </c>
      <c r="B12" s="317" t="s">
        <v>1298</v>
      </c>
      <c r="C12" s="317"/>
      <c r="D12" s="319">
        <v>200</v>
      </c>
      <c r="E12" s="319"/>
      <c r="F12" s="319">
        <v>200</v>
      </c>
      <c r="G12" s="319"/>
      <c r="H12" s="320">
        <f>'TRF-3'!C73</f>
        <v>0.1175</v>
      </c>
      <c r="I12" s="319" t="s">
        <v>1238</v>
      </c>
      <c r="J12" s="319" t="s">
        <v>1242</v>
      </c>
      <c r="K12" s="319">
        <v>0</v>
      </c>
      <c r="L12" s="319">
        <v>0</v>
      </c>
      <c r="M12" s="319">
        <f>K12+L12</f>
        <v>0</v>
      </c>
      <c r="N12" s="319">
        <f>F12-K12</f>
        <v>200</v>
      </c>
      <c r="O12" s="319">
        <f>F12-M12</f>
        <v>200</v>
      </c>
      <c r="P12" s="319">
        <v>12.02</v>
      </c>
      <c r="Q12" s="319">
        <v>0</v>
      </c>
      <c r="R12" s="319">
        <v>0</v>
      </c>
      <c r="S12" s="319">
        <v>0</v>
      </c>
    </row>
    <row r="13" ht="12.75" hidden="1"/>
    <row r="15" spans="1:17" ht="12.75">
      <c r="A15" s="228" t="s">
        <v>156</v>
      </c>
      <c r="Q15" s="298" t="s">
        <v>857</v>
      </c>
    </row>
    <row r="17" spans="1:19" ht="89.25">
      <c r="A17" s="317" t="s">
        <v>814</v>
      </c>
      <c r="B17" s="317" t="s">
        <v>493</v>
      </c>
      <c r="C17" s="317"/>
      <c r="D17" s="317" t="s">
        <v>815</v>
      </c>
      <c r="E17" s="317" t="s">
        <v>494</v>
      </c>
      <c r="F17" s="317" t="s">
        <v>816</v>
      </c>
      <c r="G17" s="317" t="s">
        <v>495</v>
      </c>
      <c r="H17" s="317" t="s">
        <v>1247</v>
      </c>
      <c r="I17" s="317" t="s">
        <v>496</v>
      </c>
      <c r="J17" s="317" t="s">
        <v>668</v>
      </c>
      <c r="K17" s="317" t="s">
        <v>669</v>
      </c>
      <c r="L17" s="317" t="s">
        <v>670</v>
      </c>
      <c r="M17" s="317" t="s">
        <v>498</v>
      </c>
      <c r="N17" s="317" t="s">
        <v>671</v>
      </c>
      <c r="O17" s="317" t="s">
        <v>672</v>
      </c>
      <c r="P17" s="317" t="s">
        <v>1295</v>
      </c>
      <c r="Q17" s="317" t="s">
        <v>1296</v>
      </c>
      <c r="R17" s="317" t="s">
        <v>505</v>
      </c>
      <c r="S17" s="317" t="s">
        <v>1297</v>
      </c>
    </row>
    <row r="18" spans="1:19" ht="12.75">
      <c r="A18" s="318"/>
      <c r="B18" s="318"/>
      <c r="C18" s="318"/>
      <c r="D18" s="318"/>
      <c r="E18" s="318"/>
      <c r="F18" s="318"/>
      <c r="G18" s="318"/>
      <c r="H18" s="318"/>
      <c r="I18" s="318"/>
      <c r="J18" s="318"/>
      <c r="K18" s="318"/>
      <c r="L18" s="318"/>
      <c r="M18" s="318"/>
      <c r="N18" s="318"/>
      <c r="O18" s="318"/>
      <c r="P18" s="318"/>
      <c r="Q18" s="318"/>
      <c r="R18" s="318"/>
      <c r="S18" s="318"/>
    </row>
    <row r="19" spans="1:19" s="458" customFormat="1" ht="25.5">
      <c r="A19" s="460" t="s">
        <v>826</v>
      </c>
      <c r="B19" s="460" t="s">
        <v>1298</v>
      </c>
      <c r="C19" s="460"/>
      <c r="D19" s="461">
        <v>100</v>
      </c>
      <c r="E19" s="459"/>
      <c r="F19" s="461">
        <v>100</v>
      </c>
      <c r="G19" s="459"/>
      <c r="H19" s="462">
        <v>0.0825</v>
      </c>
      <c r="I19" s="459" t="s">
        <v>538</v>
      </c>
      <c r="J19" s="459" t="s">
        <v>1239</v>
      </c>
      <c r="K19" s="461">
        <f>72.83+14.36</f>
        <v>87.19</v>
      </c>
      <c r="L19" s="461">
        <v>12.65</v>
      </c>
      <c r="M19" s="461">
        <f>K19+L19</f>
        <v>99.84</v>
      </c>
      <c r="N19" s="461">
        <v>12.81</v>
      </c>
      <c r="O19" s="461">
        <f>F19-M19</f>
        <v>0.1599999999999966</v>
      </c>
      <c r="P19" s="461">
        <v>0.48</v>
      </c>
      <c r="Q19" s="461">
        <v>0</v>
      </c>
      <c r="R19" s="461">
        <v>0</v>
      </c>
      <c r="S19" s="461">
        <v>0</v>
      </c>
    </row>
    <row r="20" spans="1:19" s="458" customFormat="1" ht="25.5">
      <c r="A20" s="460" t="s">
        <v>1087</v>
      </c>
      <c r="B20" s="460" t="s">
        <v>1298</v>
      </c>
      <c r="C20" s="460"/>
      <c r="D20" s="461">
        <v>600</v>
      </c>
      <c r="E20" s="459"/>
      <c r="F20" s="461">
        <v>300</v>
      </c>
      <c r="G20" s="459"/>
      <c r="H20" s="462">
        <v>0.1</v>
      </c>
      <c r="I20" s="459" t="s">
        <v>1237</v>
      </c>
      <c r="J20" s="459" t="s">
        <v>1240</v>
      </c>
      <c r="K20" s="461">
        <f>191.84+32.47</f>
        <v>224.31</v>
      </c>
      <c r="L20" s="181">
        <v>28.87</v>
      </c>
      <c r="M20" s="461">
        <f>K20+L20</f>
        <v>253.18</v>
      </c>
      <c r="N20" s="181">
        <v>75.69</v>
      </c>
      <c r="O20" s="181">
        <f>F20-M20</f>
        <v>46.81999999999999</v>
      </c>
      <c r="P20" s="181">
        <v>6.76</v>
      </c>
      <c r="Q20" s="461">
        <v>0</v>
      </c>
      <c r="R20" s="461">
        <v>0</v>
      </c>
      <c r="S20" s="461">
        <v>0</v>
      </c>
    </row>
    <row r="21" spans="1:19" s="458" customFormat="1" ht="25.5">
      <c r="A21" s="460" t="s">
        <v>539</v>
      </c>
      <c r="B21" s="460" t="s">
        <v>1298</v>
      </c>
      <c r="C21" s="460"/>
      <c r="D21" s="461">
        <v>200</v>
      </c>
      <c r="E21" s="459"/>
      <c r="F21" s="461">
        <v>200</v>
      </c>
      <c r="G21" s="459"/>
      <c r="H21" s="462">
        <v>0.105</v>
      </c>
      <c r="I21" s="459" t="s">
        <v>1238</v>
      </c>
      <c r="J21" s="459" t="s">
        <v>1242</v>
      </c>
      <c r="K21" s="461">
        <f>83.99+28.45</f>
        <v>112.44</v>
      </c>
      <c r="L21" s="461">
        <v>28.65</v>
      </c>
      <c r="M21" s="461">
        <f>K21+L21</f>
        <v>141.09</v>
      </c>
      <c r="N21" s="461">
        <v>87.56</v>
      </c>
      <c r="O21" s="461">
        <f>F21-M21</f>
        <v>58.91</v>
      </c>
      <c r="P21" s="181">
        <v>8.34</v>
      </c>
      <c r="Q21" s="461">
        <v>0</v>
      </c>
      <c r="R21" s="461">
        <v>0</v>
      </c>
      <c r="S21" s="461">
        <v>0</v>
      </c>
    </row>
    <row r="22" spans="1:19" s="458" customFormat="1" ht="12.75">
      <c r="A22" s="251" t="s">
        <v>846</v>
      </c>
      <c r="B22" s="460" t="s">
        <v>1122</v>
      </c>
      <c r="C22" s="460"/>
      <c r="D22" s="461"/>
      <c r="E22" s="459"/>
      <c r="F22" s="461"/>
      <c r="G22" s="459"/>
      <c r="H22" s="462"/>
      <c r="I22" s="459"/>
      <c r="J22" s="459"/>
      <c r="K22" s="461"/>
      <c r="L22" s="461"/>
      <c r="M22" s="461"/>
      <c r="N22" s="461"/>
      <c r="O22" s="461"/>
      <c r="P22" s="181"/>
      <c r="Q22" s="461"/>
      <c r="R22" s="461"/>
      <c r="S22" s="461"/>
    </row>
    <row r="23" spans="1:19" s="458" customFormat="1" ht="18" customHeight="1">
      <c r="A23" s="463" t="s">
        <v>675</v>
      </c>
      <c r="B23" s="460" t="s">
        <v>288</v>
      </c>
      <c r="C23" s="460"/>
      <c r="D23" s="464">
        <v>0.5712</v>
      </c>
      <c r="E23" s="459"/>
      <c r="F23" s="464">
        <v>0.5712</v>
      </c>
      <c r="G23" s="459"/>
      <c r="H23" s="465">
        <v>0.115</v>
      </c>
      <c r="I23" s="459" t="s">
        <v>303</v>
      </c>
      <c r="J23" s="459" t="s">
        <v>304</v>
      </c>
      <c r="K23" s="461">
        <v>0</v>
      </c>
      <c r="L23" s="461">
        <v>0.05712</v>
      </c>
      <c r="M23" s="461">
        <f>K23+L23</f>
        <v>0.05712</v>
      </c>
      <c r="N23" s="461">
        <v>0.5712</v>
      </c>
      <c r="O23" s="461">
        <v>0.51408</v>
      </c>
      <c r="P23" s="181">
        <v>0.0657029</v>
      </c>
      <c r="Q23" s="461"/>
      <c r="R23" s="461"/>
      <c r="S23" s="461"/>
    </row>
    <row r="24" spans="1:19" s="458" customFormat="1" ht="18" customHeight="1">
      <c r="A24" s="463" t="s">
        <v>676</v>
      </c>
      <c r="B24" s="460" t="s">
        <v>292</v>
      </c>
      <c r="C24" s="460"/>
      <c r="D24" s="464">
        <v>2.09863</v>
      </c>
      <c r="E24" s="459"/>
      <c r="F24" s="464">
        <v>2.09863</v>
      </c>
      <c r="G24" s="459"/>
      <c r="H24" s="465">
        <v>0.125</v>
      </c>
      <c r="I24" s="459" t="s">
        <v>303</v>
      </c>
      <c r="J24" s="459" t="s">
        <v>304</v>
      </c>
      <c r="K24" s="461">
        <v>0</v>
      </c>
      <c r="L24" s="461">
        <v>0.209863</v>
      </c>
      <c r="M24" s="461">
        <f aca="true" t="shared" si="0" ref="M24:M59">K24+L24</f>
        <v>0.209863</v>
      </c>
      <c r="N24" s="461">
        <v>2.09863</v>
      </c>
      <c r="O24" s="461">
        <v>1.888767</v>
      </c>
      <c r="P24" s="181">
        <v>0.2679029</v>
      </c>
      <c r="Q24" s="461"/>
      <c r="R24" s="461"/>
      <c r="S24" s="461"/>
    </row>
    <row r="25" spans="1:19" s="458" customFormat="1" ht="18" customHeight="1">
      <c r="A25" s="463" t="s">
        <v>677</v>
      </c>
      <c r="B25" s="460" t="s">
        <v>292</v>
      </c>
      <c r="C25" s="460"/>
      <c r="D25" s="464">
        <v>3.23245</v>
      </c>
      <c r="E25" s="459"/>
      <c r="F25" s="464">
        <v>3.23245</v>
      </c>
      <c r="G25" s="459"/>
      <c r="H25" s="465">
        <v>0.125</v>
      </c>
      <c r="I25" s="459" t="s">
        <v>303</v>
      </c>
      <c r="J25" s="459" t="s">
        <v>304</v>
      </c>
      <c r="K25" s="461">
        <v>0</v>
      </c>
      <c r="L25" s="461">
        <v>0.323245</v>
      </c>
      <c r="M25" s="461">
        <f t="shared" si="0"/>
        <v>0.323245</v>
      </c>
      <c r="N25" s="461">
        <v>3.23245</v>
      </c>
      <c r="O25" s="461">
        <v>2.909205</v>
      </c>
      <c r="P25" s="181">
        <v>0.372241</v>
      </c>
      <c r="Q25" s="461"/>
      <c r="R25" s="461"/>
      <c r="S25" s="461"/>
    </row>
    <row r="26" spans="1:19" s="458" customFormat="1" ht="18" customHeight="1">
      <c r="A26" s="463" t="s">
        <v>678</v>
      </c>
      <c r="B26" s="460" t="s">
        <v>292</v>
      </c>
      <c r="C26" s="460"/>
      <c r="D26" s="464">
        <v>2.19</v>
      </c>
      <c r="E26" s="459"/>
      <c r="F26" s="464">
        <v>2.19</v>
      </c>
      <c r="G26" s="459"/>
      <c r="H26" s="465">
        <v>0.11</v>
      </c>
      <c r="I26" s="459" t="s">
        <v>303</v>
      </c>
      <c r="J26" s="459" t="s">
        <v>304</v>
      </c>
      <c r="K26" s="461">
        <v>0</v>
      </c>
      <c r="L26" s="461">
        <v>0.2190501</v>
      </c>
      <c r="M26" s="461">
        <f t="shared" si="0"/>
        <v>0.2190501</v>
      </c>
      <c r="N26" s="461">
        <v>2.1905011</v>
      </c>
      <c r="O26" s="461">
        <v>1.971451</v>
      </c>
      <c r="P26" s="181">
        <v>0.2412852</v>
      </c>
      <c r="Q26" s="461"/>
      <c r="R26" s="461"/>
      <c r="S26" s="461"/>
    </row>
    <row r="27" spans="1:19" s="458" customFormat="1" ht="18" customHeight="1">
      <c r="A27" s="463" t="s">
        <v>679</v>
      </c>
      <c r="B27" s="460" t="s">
        <v>289</v>
      </c>
      <c r="C27" s="460"/>
      <c r="D27" s="464">
        <v>0.1267</v>
      </c>
      <c r="E27" s="459"/>
      <c r="F27" s="464">
        <v>0.1267</v>
      </c>
      <c r="G27" s="459"/>
      <c r="H27" s="465">
        <v>0.115</v>
      </c>
      <c r="I27" s="459" t="s">
        <v>303</v>
      </c>
      <c r="J27" s="459" t="s">
        <v>304</v>
      </c>
      <c r="K27" s="461">
        <v>0</v>
      </c>
      <c r="L27" s="461">
        <v>0.01267</v>
      </c>
      <c r="M27" s="461">
        <f t="shared" si="0"/>
        <v>0.01267</v>
      </c>
      <c r="N27" s="461">
        <v>0.1267</v>
      </c>
      <c r="O27" s="461">
        <v>0.11403</v>
      </c>
      <c r="P27" s="181">
        <v>0.0145737</v>
      </c>
      <c r="Q27" s="461"/>
      <c r="R27" s="461"/>
      <c r="S27" s="461"/>
    </row>
    <row r="28" spans="1:19" s="458" customFormat="1" ht="18" customHeight="1">
      <c r="A28" s="463" t="s">
        <v>680</v>
      </c>
      <c r="B28" s="460" t="s">
        <v>292</v>
      </c>
      <c r="C28" s="460"/>
      <c r="D28" s="464">
        <v>4.5192</v>
      </c>
      <c r="E28" s="459"/>
      <c r="F28" s="464">
        <v>4.5192</v>
      </c>
      <c r="G28" s="459"/>
      <c r="H28" s="465">
        <v>0.1225</v>
      </c>
      <c r="I28" s="459" t="s">
        <v>303</v>
      </c>
      <c r="J28" s="459" t="s">
        <v>304</v>
      </c>
      <c r="K28" s="461">
        <v>0</v>
      </c>
      <c r="L28" s="461">
        <v>0.45192</v>
      </c>
      <c r="M28" s="461">
        <f t="shared" si="0"/>
        <v>0.45192</v>
      </c>
      <c r="N28" s="461">
        <v>4.5192</v>
      </c>
      <c r="O28" s="461">
        <v>4.06728</v>
      </c>
      <c r="P28" s="181">
        <v>0.5457552</v>
      </c>
      <c r="Q28" s="461"/>
      <c r="R28" s="461"/>
      <c r="S28" s="461"/>
    </row>
    <row r="29" spans="1:19" s="458" customFormat="1" ht="18" customHeight="1">
      <c r="A29" s="463" t="s">
        <v>681</v>
      </c>
      <c r="B29" s="460" t="s">
        <v>292</v>
      </c>
      <c r="C29" s="460"/>
      <c r="D29" s="464">
        <v>5.39</v>
      </c>
      <c r="E29" s="459"/>
      <c r="F29" s="464">
        <v>5.39</v>
      </c>
      <c r="G29" s="459"/>
      <c r="H29" s="465">
        <v>0.125</v>
      </c>
      <c r="I29" s="459" t="s">
        <v>303</v>
      </c>
      <c r="J29" s="459" t="s">
        <v>304</v>
      </c>
      <c r="K29" s="461">
        <v>0</v>
      </c>
      <c r="L29" s="461">
        <v>0.539119</v>
      </c>
      <c r="M29" s="461">
        <f t="shared" si="0"/>
        <v>0.539119</v>
      </c>
      <c r="N29" s="461">
        <v>5.39119</v>
      </c>
      <c r="O29" s="461">
        <v>4.852071</v>
      </c>
      <c r="P29" s="181">
        <v>0.6882187</v>
      </c>
      <c r="Q29" s="461"/>
      <c r="R29" s="461"/>
      <c r="S29" s="461"/>
    </row>
    <row r="30" spans="1:19" s="458" customFormat="1" ht="18" customHeight="1">
      <c r="A30" s="463" t="s">
        <v>682</v>
      </c>
      <c r="B30" s="460" t="s">
        <v>292</v>
      </c>
      <c r="C30" s="460"/>
      <c r="D30" s="464">
        <v>0.66789</v>
      </c>
      <c r="E30" s="459"/>
      <c r="F30" s="464">
        <v>0.66789</v>
      </c>
      <c r="G30" s="459"/>
      <c r="H30" s="465">
        <v>0.125</v>
      </c>
      <c r="I30" s="459" t="s">
        <v>303</v>
      </c>
      <c r="J30" s="459" t="s">
        <v>304</v>
      </c>
      <c r="K30" s="461">
        <v>0</v>
      </c>
      <c r="L30" s="461">
        <v>0.066789</v>
      </c>
      <c r="M30" s="461">
        <f t="shared" si="0"/>
        <v>0.066789</v>
      </c>
      <c r="N30" s="461">
        <v>0.66789</v>
      </c>
      <c r="O30" s="461">
        <v>0.601101</v>
      </c>
      <c r="P30" s="181">
        <v>0.0769126</v>
      </c>
      <c r="Q30" s="461"/>
      <c r="R30" s="461"/>
      <c r="S30" s="461"/>
    </row>
    <row r="31" spans="1:19" s="458" customFormat="1" ht="18" customHeight="1">
      <c r="A31" s="463" t="s">
        <v>683</v>
      </c>
      <c r="B31" s="460" t="s">
        <v>292</v>
      </c>
      <c r="C31" s="460"/>
      <c r="D31" s="464">
        <v>2.31</v>
      </c>
      <c r="E31" s="459"/>
      <c r="F31" s="464">
        <v>2.31</v>
      </c>
      <c r="G31" s="459"/>
      <c r="H31" s="465">
        <v>0.11</v>
      </c>
      <c r="I31" s="459" t="s">
        <v>303</v>
      </c>
      <c r="J31" s="459" t="s">
        <v>304</v>
      </c>
      <c r="K31" s="461">
        <v>0</v>
      </c>
      <c r="L31" s="461">
        <v>0.231381</v>
      </c>
      <c r="M31" s="461">
        <f t="shared" si="0"/>
        <v>0.231381</v>
      </c>
      <c r="N31" s="461">
        <v>2.31381</v>
      </c>
      <c r="O31" s="461">
        <v>2.082429</v>
      </c>
      <c r="P31" s="181">
        <v>0.2548678</v>
      </c>
      <c r="Q31" s="461"/>
      <c r="R31" s="461"/>
      <c r="S31" s="461"/>
    </row>
    <row r="32" spans="1:19" s="458" customFormat="1" ht="18" customHeight="1">
      <c r="A32" s="463" t="s">
        <v>684</v>
      </c>
      <c r="B32" s="460" t="s">
        <v>290</v>
      </c>
      <c r="C32" s="460"/>
      <c r="D32" s="464">
        <v>0.21703</v>
      </c>
      <c r="E32" s="459"/>
      <c r="F32" s="464">
        <v>0.21703</v>
      </c>
      <c r="G32" s="459"/>
      <c r="H32" s="465">
        <v>0.115</v>
      </c>
      <c r="I32" s="459" t="s">
        <v>303</v>
      </c>
      <c r="J32" s="459" t="s">
        <v>304</v>
      </c>
      <c r="K32" s="461">
        <v>0</v>
      </c>
      <c r="L32" s="461">
        <v>0.021703</v>
      </c>
      <c r="M32" s="461">
        <f t="shared" si="0"/>
        <v>0.021703</v>
      </c>
      <c r="N32" s="461">
        <v>0.21703</v>
      </c>
      <c r="O32" s="461">
        <v>0.195327</v>
      </c>
      <c r="P32" s="181">
        <v>0.0249641</v>
      </c>
      <c r="Q32" s="461"/>
      <c r="R32" s="461"/>
      <c r="S32" s="461"/>
    </row>
    <row r="33" spans="1:19" s="458" customFormat="1" ht="18" customHeight="1">
      <c r="A33" s="463" t="s">
        <v>685</v>
      </c>
      <c r="B33" s="460" t="s">
        <v>292</v>
      </c>
      <c r="C33" s="460"/>
      <c r="D33" s="464">
        <v>3.82439</v>
      </c>
      <c r="E33" s="459"/>
      <c r="F33" s="464">
        <v>3.82439</v>
      </c>
      <c r="G33" s="459"/>
      <c r="H33" s="465">
        <v>0.125</v>
      </c>
      <c r="I33" s="459" t="s">
        <v>303</v>
      </c>
      <c r="J33" s="459" t="s">
        <v>304</v>
      </c>
      <c r="K33" s="461">
        <v>0</v>
      </c>
      <c r="L33" s="461">
        <v>0.382439</v>
      </c>
      <c r="M33" s="461">
        <f t="shared" si="0"/>
        <v>0.382439</v>
      </c>
      <c r="N33" s="461">
        <v>3.82439</v>
      </c>
      <c r="O33" s="461">
        <v>3.441951</v>
      </c>
      <c r="P33" s="181">
        <v>0.4882072</v>
      </c>
      <c r="Q33" s="461"/>
      <c r="R33" s="461"/>
      <c r="S33" s="461"/>
    </row>
    <row r="34" spans="1:19" s="458" customFormat="1" ht="18" customHeight="1">
      <c r="A34" s="463" t="s">
        <v>686</v>
      </c>
      <c r="B34" s="460" t="s">
        <v>292</v>
      </c>
      <c r="C34" s="460"/>
      <c r="D34" s="464">
        <v>2.55398</v>
      </c>
      <c r="E34" s="459"/>
      <c r="F34" s="464">
        <v>2.55398</v>
      </c>
      <c r="G34" s="459"/>
      <c r="H34" s="465">
        <v>0.125</v>
      </c>
      <c r="I34" s="459" t="s">
        <v>303</v>
      </c>
      <c r="J34" s="459" t="s">
        <v>304</v>
      </c>
      <c r="K34" s="461">
        <v>0</v>
      </c>
      <c r="L34" s="461">
        <v>0.255398</v>
      </c>
      <c r="M34" s="461">
        <f t="shared" si="0"/>
        <v>0.255398</v>
      </c>
      <c r="N34" s="461">
        <v>2.55398</v>
      </c>
      <c r="O34" s="461">
        <v>2.298582</v>
      </c>
      <c r="P34" s="181">
        <v>0.2941101</v>
      </c>
      <c r="Q34" s="461"/>
      <c r="R34" s="461"/>
      <c r="S34" s="461"/>
    </row>
    <row r="35" spans="1:19" s="458" customFormat="1" ht="18" customHeight="1">
      <c r="A35" s="463" t="s">
        <v>687</v>
      </c>
      <c r="B35" s="460" t="s">
        <v>292</v>
      </c>
      <c r="C35" s="460"/>
      <c r="D35" s="464">
        <v>1.6183792</v>
      </c>
      <c r="E35" s="459"/>
      <c r="F35" s="464">
        <v>1.6183792</v>
      </c>
      <c r="G35" s="459"/>
      <c r="H35" s="465">
        <v>0.11</v>
      </c>
      <c r="I35" s="459" t="s">
        <v>303</v>
      </c>
      <c r="J35" s="459" t="s">
        <v>304</v>
      </c>
      <c r="K35" s="461">
        <v>0</v>
      </c>
      <c r="L35" s="461">
        <v>0.1618379</v>
      </c>
      <c r="M35" s="461">
        <f t="shared" si="0"/>
        <v>0.1618379</v>
      </c>
      <c r="N35" s="461">
        <v>1.6183792</v>
      </c>
      <c r="O35" s="461">
        <v>1.4565413</v>
      </c>
      <c r="P35" s="181">
        <v>0.1782655</v>
      </c>
      <c r="Q35" s="461"/>
      <c r="R35" s="461"/>
      <c r="S35" s="461"/>
    </row>
    <row r="36" spans="1:19" s="458" customFormat="1" ht="38.25" customHeight="1">
      <c r="A36" s="463" t="s">
        <v>688</v>
      </c>
      <c r="B36" s="466" t="s">
        <v>291</v>
      </c>
      <c r="C36" s="460"/>
      <c r="D36" s="464">
        <v>29.62</v>
      </c>
      <c r="E36" s="459"/>
      <c r="F36" s="464">
        <v>29.62</v>
      </c>
      <c r="G36" s="459"/>
      <c r="H36" s="465">
        <v>0.115</v>
      </c>
      <c r="I36" s="459" t="s">
        <v>303</v>
      </c>
      <c r="J36" s="459" t="s">
        <v>304</v>
      </c>
      <c r="K36" s="461">
        <v>0</v>
      </c>
      <c r="L36" s="461">
        <v>2.962</v>
      </c>
      <c r="M36" s="461">
        <f t="shared" si="0"/>
        <v>2.962</v>
      </c>
      <c r="N36" s="461">
        <v>29.62</v>
      </c>
      <c r="O36" s="461">
        <v>26.658</v>
      </c>
      <c r="P36" s="181">
        <v>3.4070709</v>
      </c>
      <c r="Q36" s="461"/>
      <c r="R36" s="461"/>
      <c r="S36" s="461"/>
    </row>
    <row r="37" spans="1:19" s="458" customFormat="1" ht="18" customHeight="1">
      <c r="A37" s="463" t="s">
        <v>689</v>
      </c>
      <c r="B37" s="460" t="s">
        <v>292</v>
      </c>
      <c r="C37" s="460"/>
      <c r="D37" s="464">
        <v>17.03731</v>
      </c>
      <c r="E37" s="459"/>
      <c r="F37" s="464">
        <v>17.03731</v>
      </c>
      <c r="G37" s="459"/>
      <c r="H37" s="465">
        <v>0.125</v>
      </c>
      <c r="I37" s="459" t="s">
        <v>303</v>
      </c>
      <c r="J37" s="459" t="s">
        <v>304</v>
      </c>
      <c r="K37" s="461">
        <v>0</v>
      </c>
      <c r="L37" s="461">
        <v>1.703731</v>
      </c>
      <c r="M37" s="461">
        <f t="shared" si="0"/>
        <v>1.703731</v>
      </c>
      <c r="N37" s="461">
        <v>17.03731</v>
      </c>
      <c r="O37" s="461">
        <v>15.333579</v>
      </c>
      <c r="P37" s="181">
        <v>1.9619746</v>
      </c>
      <c r="Q37" s="461"/>
      <c r="R37" s="461"/>
      <c r="S37" s="461"/>
    </row>
    <row r="38" spans="1:19" s="458" customFormat="1" ht="18" customHeight="1">
      <c r="A38" s="467" t="s">
        <v>690</v>
      </c>
      <c r="B38" s="460" t="s">
        <v>293</v>
      </c>
      <c r="C38" s="460"/>
      <c r="D38" s="464">
        <v>6.0715</v>
      </c>
      <c r="E38" s="459"/>
      <c r="F38" s="464">
        <v>6.0715</v>
      </c>
      <c r="G38" s="459"/>
      <c r="H38" s="468">
        <v>0.1225</v>
      </c>
      <c r="I38" s="459" t="s">
        <v>303</v>
      </c>
      <c r="J38" s="459" t="s">
        <v>304</v>
      </c>
      <c r="K38" s="461">
        <v>0</v>
      </c>
      <c r="L38" s="461">
        <v>0</v>
      </c>
      <c r="M38" s="461">
        <f t="shared" si="0"/>
        <v>0</v>
      </c>
      <c r="N38" s="461">
        <v>6.0715</v>
      </c>
      <c r="O38" s="461">
        <v>6.0715</v>
      </c>
      <c r="P38" s="181">
        <v>0.7342357</v>
      </c>
      <c r="Q38" s="461"/>
      <c r="R38" s="461"/>
      <c r="S38" s="461"/>
    </row>
    <row r="39" spans="1:19" s="458" customFormat="1" ht="18" customHeight="1">
      <c r="A39" s="467" t="s">
        <v>691</v>
      </c>
      <c r="B39" s="460" t="s">
        <v>292</v>
      </c>
      <c r="C39" s="460"/>
      <c r="D39" s="464">
        <v>4.0206</v>
      </c>
      <c r="E39" s="459"/>
      <c r="F39" s="464">
        <v>4.0206</v>
      </c>
      <c r="G39" s="459"/>
      <c r="H39" s="468">
        <v>0.125</v>
      </c>
      <c r="I39" s="459" t="s">
        <v>303</v>
      </c>
      <c r="J39" s="459" t="s">
        <v>304</v>
      </c>
      <c r="K39" s="461">
        <v>0</v>
      </c>
      <c r="L39" s="461">
        <v>0</v>
      </c>
      <c r="M39" s="461">
        <f t="shared" si="0"/>
        <v>0</v>
      </c>
      <c r="N39" s="461">
        <v>4.0206</v>
      </c>
      <c r="O39" s="461">
        <v>4.0206</v>
      </c>
      <c r="P39" s="181">
        <v>0.5139484</v>
      </c>
      <c r="Q39" s="461"/>
      <c r="R39" s="461"/>
      <c r="S39" s="461"/>
    </row>
    <row r="40" spans="1:19" s="458" customFormat="1" ht="18" customHeight="1">
      <c r="A40" s="467" t="s">
        <v>692</v>
      </c>
      <c r="B40" s="460" t="s">
        <v>292</v>
      </c>
      <c r="C40" s="460"/>
      <c r="D40" s="464">
        <v>0.68335</v>
      </c>
      <c r="E40" s="459"/>
      <c r="F40" s="464">
        <v>0.68335</v>
      </c>
      <c r="G40" s="459"/>
      <c r="H40" s="468">
        <v>0.125</v>
      </c>
      <c r="I40" s="459" t="s">
        <v>303</v>
      </c>
      <c r="J40" s="459" t="s">
        <v>304</v>
      </c>
      <c r="K40" s="461">
        <v>0</v>
      </c>
      <c r="L40" s="461">
        <v>0</v>
      </c>
      <c r="M40" s="461">
        <f t="shared" si="0"/>
        <v>0</v>
      </c>
      <c r="N40" s="461">
        <v>0.68335</v>
      </c>
      <c r="O40" s="461">
        <v>0.68335</v>
      </c>
      <c r="P40" s="181">
        <v>0.0788006</v>
      </c>
      <c r="Q40" s="461"/>
      <c r="R40" s="461"/>
      <c r="S40" s="461"/>
    </row>
    <row r="41" spans="1:19" s="458" customFormat="1" ht="18" customHeight="1">
      <c r="A41" s="467" t="s">
        <v>693</v>
      </c>
      <c r="B41" s="460" t="s">
        <v>292</v>
      </c>
      <c r="C41" s="460"/>
      <c r="D41" s="464">
        <v>0.6731178</v>
      </c>
      <c r="E41" s="459"/>
      <c r="F41" s="464">
        <v>0.6731178</v>
      </c>
      <c r="G41" s="459"/>
      <c r="H41" s="468">
        <v>0.11</v>
      </c>
      <c r="I41" s="459" t="s">
        <v>303</v>
      </c>
      <c r="J41" s="459" t="s">
        <v>304</v>
      </c>
      <c r="K41" s="461">
        <v>0</v>
      </c>
      <c r="L41" s="461">
        <v>0</v>
      </c>
      <c r="M41" s="461">
        <f t="shared" si="0"/>
        <v>0</v>
      </c>
      <c r="N41" s="461">
        <v>0.6731178</v>
      </c>
      <c r="O41" s="461">
        <v>0.6731178</v>
      </c>
      <c r="P41" s="181">
        <v>0.0742458</v>
      </c>
      <c r="Q41" s="461"/>
      <c r="R41" s="461"/>
      <c r="S41" s="461"/>
    </row>
    <row r="42" spans="1:19" s="458" customFormat="1" ht="18" customHeight="1">
      <c r="A42" s="467" t="s">
        <v>694</v>
      </c>
      <c r="B42" s="460" t="s">
        <v>292</v>
      </c>
      <c r="C42" s="463"/>
      <c r="D42" s="464">
        <v>5.75862</v>
      </c>
      <c r="E42" s="463"/>
      <c r="F42" s="464">
        <v>5.75862</v>
      </c>
      <c r="G42" s="463"/>
      <c r="H42" s="468">
        <v>0.125</v>
      </c>
      <c r="I42" s="459" t="s">
        <v>303</v>
      </c>
      <c r="J42" s="459" t="s">
        <v>304</v>
      </c>
      <c r="K42" s="461">
        <v>0</v>
      </c>
      <c r="L42" s="469">
        <v>0</v>
      </c>
      <c r="M42" s="461">
        <f t="shared" si="0"/>
        <v>0</v>
      </c>
      <c r="N42" s="469">
        <v>0</v>
      </c>
      <c r="O42" s="469">
        <v>5.75862</v>
      </c>
      <c r="P42" s="469">
        <v>0.0276098</v>
      </c>
      <c r="Q42" s="463"/>
      <c r="R42" s="463"/>
      <c r="S42" s="463"/>
    </row>
    <row r="43" spans="1:19" s="458" customFormat="1" ht="18" customHeight="1">
      <c r="A43" s="473" t="s">
        <v>695</v>
      </c>
      <c r="B43" s="460" t="s">
        <v>294</v>
      </c>
      <c r="C43" s="463"/>
      <c r="D43" s="464">
        <v>2.9488066</v>
      </c>
      <c r="E43" s="463"/>
      <c r="F43" s="464">
        <v>2.9488066</v>
      </c>
      <c r="G43" s="463"/>
      <c r="H43" s="465">
        <v>0.11</v>
      </c>
      <c r="I43" s="459" t="s">
        <v>305</v>
      </c>
      <c r="J43" s="459" t="s">
        <v>304</v>
      </c>
      <c r="K43" s="461">
        <v>0</v>
      </c>
      <c r="L43" s="469">
        <v>0</v>
      </c>
      <c r="M43" s="461">
        <f t="shared" si="0"/>
        <v>0</v>
      </c>
      <c r="N43" s="469">
        <v>2.9488066</v>
      </c>
      <c r="O43" s="469">
        <v>2.9488066</v>
      </c>
      <c r="P43" s="469">
        <v>0.3252574</v>
      </c>
      <c r="Q43" s="463"/>
      <c r="R43" s="463"/>
      <c r="S43" s="463"/>
    </row>
    <row r="44" spans="1:19" s="458" customFormat="1" ht="18" customHeight="1">
      <c r="A44" s="473" t="s">
        <v>696</v>
      </c>
      <c r="B44" s="460" t="s">
        <v>292</v>
      </c>
      <c r="C44" s="463"/>
      <c r="D44" s="464">
        <v>2.8374072</v>
      </c>
      <c r="E44" s="463"/>
      <c r="F44" s="464">
        <v>2.8374072</v>
      </c>
      <c r="G44" s="463"/>
      <c r="H44" s="465">
        <v>0.125</v>
      </c>
      <c r="I44" s="459" t="s">
        <v>305</v>
      </c>
      <c r="J44" s="459" t="s">
        <v>304</v>
      </c>
      <c r="K44" s="461">
        <v>0</v>
      </c>
      <c r="L44" s="469">
        <v>0</v>
      </c>
      <c r="M44" s="461">
        <f t="shared" si="0"/>
        <v>0</v>
      </c>
      <c r="N44" s="469">
        <v>0</v>
      </c>
      <c r="O44" s="469">
        <v>2.8374072</v>
      </c>
      <c r="P44" s="469">
        <v>0</v>
      </c>
      <c r="Q44" s="463"/>
      <c r="R44" s="463"/>
      <c r="S44" s="463"/>
    </row>
    <row r="45" spans="1:19" s="458" customFormat="1" ht="18" customHeight="1">
      <c r="A45" s="473" t="s">
        <v>697</v>
      </c>
      <c r="B45" s="460" t="s">
        <v>295</v>
      </c>
      <c r="C45" s="463"/>
      <c r="D45" s="464">
        <v>3.8158707</v>
      </c>
      <c r="E45" s="463"/>
      <c r="F45" s="464">
        <v>3.8158707</v>
      </c>
      <c r="G45" s="463"/>
      <c r="H45" s="465">
        <v>0.11</v>
      </c>
      <c r="I45" s="459" t="s">
        <v>305</v>
      </c>
      <c r="J45" s="459" t="s">
        <v>304</v>
      </c>
      <c r="K45" s="461">
        <v>0</v>
      </c>
      <c r="L45" s="469">
        <v>0</v>
      </c>
      <c r="M45" s="461">
        <f t="shared" si="0"/>
        <v>0</v>
      </c>
      <c r="N45" s="469">
        <v>3.8158707</v>
      </c>
      <c r="O45" s="469">
        <v>3.8158707</v>
      </c>
      <c r="P45" s="469">
        <v>0.4208956</v>
      </c>
      <c r="Q45" s="463"/>
      <c r="R45" s="463"/>
      <c r="S45" s="463"/>
    </row>
    <row r="46" spans="1:19" s="458" customFormat="1" ht="18" customHeight="1">
      <c r="A46" s="473" t="s">
        <v>698</v>
      </c>
      <c r="B46" s="460" t="s">
        <v>292</v>
      </c>
      <c r="C46" s="463"/>
      <c r="D46" s="464">
        <v>5.0466963</v>
      </c>
      <c r="E46" s="463"/>
      <c r="F46" s="464">
        <v>5.0466963</v>
      </c>
      <c r="G46" s="463"/>
      <c r="H46" s="465">
        <v>0.125</v>
      </c>
      <c r="I46" s="459" t="s">
        <v>305</v>
      </c>
      <c r="J46" s="459" t="s">
        <v>304</v>
      </c>
      <c r="K46" s="461">
        <v>0</v>
      </c>
      <c r="L46" s="469">
        <v>0</v>
      </c>
      <c r="M46" s="461">
        <f t="shared" si="0"/>
        <v>0</v>
      </c>
      <c r="N46" s="469">
        <v>0</v>
      </c>
      <c r="O46" s="469">
        <v>5.0466963</v>
      </c>
      <c r="P46" s="469">
        <v>0</v>
      </c>
      <c r="Q46" s="463"/>
      <c r="R46" s="463"/>
      <c r="S46" s="463"/>
    </row>
    <row r="47" spans="1:19" s="458" customFormat="1" ht="18" customHeight="1">
      <c r="A47" s="473" t="s">
        <v>699</v>
      </c>
      <c r="B47" s="460" t="s">
        <v>296</v>
      </c>
      <c r="C47" s="463"/>
      <c r="D47" s="464">
        <v>2.2983732</v>
      </c>
      <c r="E47" s="463"/>
      <c r="F47" s="464">
        <v>2.2983732</v>
      </c>
      <c r="G47" s="463"/>
      <c r="H47" s="465">
        <v>0.11</v>
      </c>
      <c r="I47" s="459" t="s">
        <v>305</v>
      </c>
      <c r="J47" s="459" t="s">
        <v>304</v>
      </c>
      <c r="K47" s="461">
        <v>0</v>
      </c>
      <c r="L47" s="469">
        <v>0</v>
      </c>
      <c r="M47" s="461">
        <f t="shared" si="0"/>
        <v>0</v>
      </c>
      <c r="N47" s="469">
        <v>2.2983732</v>
      </c>
      <c r="O47" s="469">
        <v>2.2983732</v>
      </c>
      <c r="P47" s="469">
        <v>0.2535138</v>
      </c>
      <c r="Q47" s="463"/>
      <c r="R47" s="463"/>
      <c r="S47" s="463"/>
    </row>
    <row r="48" spans="1:19" s="458" customFormat="1" ht="18" customHeight="1">
      <c r="A48" s="473" t="s">
        <v>700</v>
      </c>
      <c r="B48" s="460" t="s">
        <v>292</v>
      </c>
      <c r="C48" s="463"/>
      <c r="D48" s="464">
        <v>4.1894859</v>
      </c>
      <c r="E48" s="463"/>
      <c r="F48" s="464">
        <v>4.1894859</v>
      </c>
      <c r="G48" s="463"/>
      <c r="H48" s="465">
        <v>0.125</v>
      </c>
      <c r="I48" s="459" t="s">
        <v>305</v>
      </c>
      <c r="J48" s="459" t="s">
        <v>304</v>
      </c>
      <c r="K48" s="461">
        <v>0</v>
      </c>
      <c r="L48" s="469">
        <v>0</v>
      </c>
      <c r="M48" s="461">
        <f t="shared" si="0"/>
        <v>0</v>
      </c>
      <c r="N48" s="469">
        <v>0</v>
      </c>
      <c r="O48" s="469">
        <v>4.1894859</v>
      </c>
      <c r="P48" s="469">
        <v>0</v>
      </c>
      <c r="Q48" s="463"/>
      <c r="R48" s="463"/>
      <c r="S48" s="463"/>
    </row>
    <row r="49" spans="1:19" s="458" customFormat="1" ht="18" customHeight="1">
      <c r="A49" s="473" t="s">
        <v>701</v>
      </c>
      <c r="B49" s="460" t="s">
        <v>297</v>
      </c>
      <c r="C49" s="463"/>
      <c r="D49" s="464">
        <v>3.2873695</v>
      </c>
      <c r="E49" s="463"/>
      <c r="F49" s="464">
        <v>3.2873695</v>
      </c>
      <c r="G49" s="463"/>
      <c r="H49" s="465">
        <v>0.11</v>
      </c>
      <c r="I49" s="459" t="s">
        <v>305</v>
      </c>
      <c r="J49" s="459" t="s">
        <v>304</v>
      </c>
      <c r="K49" s="461">
        <v>0</v>
      </c>
      <c r="L49" s="469">
        <v>0</v>
      </c>
      <c r="M49" s="461">
        <f t="shared" si="0"/>
        <v>0</v>
      </c>
      <c r="N49" s="469">
        <v>3.2873695</v>
      </c>
      <c r="O49" s="469">
        <v>3.2873695</v>
      </c>
      <c r="P49" s="469">
        <v>0.3626014</v>
      </c>
      <c r="Q49" s="463"/>
      <c r="R49" s="463"/>
      <c r="S49" s="463"/>
    </row>
    <row r="50" spans="1:19" s="458" customFormat="1" ht="18" customHeight="1">
      <c r="A50" s="473" t="s">
        <v>702</v>
      </c>
      <c r="B50" s="460" t="s">
        <v>292</v>
      </c>
      <c r="C50" s="463"/>
      <c r="D50" s="464">
        <v>3.8820415</v>
      </c>
      <c r="E50" s="463"/>
      <c r="F50" s="464">
        <v>3.8820415</v>
      </c>
      <c r="G50" s="463"/>
      <c r="H50" s="465">
        <v>0.125</v>
      </c>
      <c r="I50" s="459" t="s">
        <v>305</v>
      </c>
      <c r="J50" s="459" t="s">
        <v>304</v>
      </c>
      <c r="K50" s="461">
        <v>0</v>
      </c>
      <c r="L50" s="469">
        <v>0</v>
      </c>
      <c r="M50" s="461">
        <f t="shared" si="0"/>
        <v>0</v>
      </c>
      <c r="N50" s="469">
        <v>0</v>
      </c>
      <c r="O50" s="469">
        <v>3.8820415</v>
      </c>
      <c r="P50" s="469">
        <v>0</v>
      </c>
      <c r="Q50" s="463"/>
      <c r="R50" s="463"/>
      <c r="S50" s="463"/>
    </row>
    <row r="51" spans="1:19" s="458" customFormat="1" ht="18" customHeight="1">
      <c r="A51" s="473" t="s">
        <v>703</v>
      </c>
      <c r="B51" s="460" t="s">
        <v>298</v>
      </c>
      <c r="C51" s="463"/>
      <c r="D51" s="464">
        <v>2.7393195</v>
      </c>
      <c r="E51" s="463"/>
      <c r="F51" s="464">
        <v>2.7393195</v>
      </c>
      <c r="G51" s="463"/>
      <c r="H51" s="465">
        <v>0.11</v>
      </c>
      <c r="I51" s="459" t="s">
        <v>305</v>
      </c>
      <c r="J51" s="459" t="s">
        <v>304</v>
      </c>
      <c r="K51" s="461">
        <v>0</v>
      </c>
      <c r="L51" s="469">
        <v>0</v>
      </c>
      <c r="M51" s="461">
        <f t="shared" si="0"/>
        <v>0</v>
      </c>
      <c r="N51" s="469">
        <v>2.7393195</v>
      </c>
      <c r="O51" s="469">
        <v>2.7393195</v>
      </c>
      <c r="P51" s="469">
        <v>0.3021506</v>
      </c>
      <c r="Q51" s="463"/>
      <c r="R51" s="463"/>
      <c r="S51" s="463"/>
    </row>
    <row r="52" spans="1:19" s="458" customFormat="1" ht="18" customHeight="1">
      <c r="A52" s="473" t="s">
        <v>704</v>
      </c>
      <c r="B52" s="460" t="s">
        <v>292</v>
      </c>
      <c r="C52" s="463"/>
      <c r="D52" s="464">
        <v>3.5733347</v>
      </c>
      <c r="E52" s="463"/>
      <c r="F52" s="464">
        <v>3.5733347</v>
      </c>
      <c r="G52" s="463"/>
      <c r="H52" s="465">
        <v>0.125</v>
      </c>
      <c r="I52" s="459" t="s">
        <v>305</v>
      </c>
      <c r="J52" s="459" t="s">
        <v>304</v>
      </c>
      <c r="K52" s="461">
        <v>0</v>
      </c>
      <c r="L52" s="469">
        <v>0</v>
      </c>
      <c r="M52" s="461">
        <f t="shared" si="0"/>
        <v>0</v>
      </c>
      <c r="N52" s="469">
        <v>0</v>
      </c>
      <c r="O52" s="469">
        <v>3.5733347</v>
      </c>
      <c r="P52" s="469">
        <v>0</v>
      </c>
      <c r="Q52" s="463"/>
      <c r="R52" s="463"/>
      <c r="S52" s="463"/>
    </row>
    <row r="53" spans="1:19" s="458" customFormat="1" ht="18" customHeight="1">
      <c r="A53" s="473" t="s">
        <v>705</v>
      </c>
      <c r="B53" s="460" t="s">
        <v>299</v>
      </c>
      <c r="C53" s="463"/>
      <c r="D53" s="464">
        <v>2.9899155</v>
      </c>
      <c r="E53" s="463"/>
      <c r="F53" s="464">
        <v>2.9899155</v>
      </c>
      <c r="G53" s="463"/>
      <c r="H53" s="465">
        <v>0.11</v>
      </c>
      <c r="I53" s="459" t="s">
        <v>305</v>
      </c>
      <c r="J53" s="459" t="s">
        <v>304</v>
      </c>
      <c r="K53" s="461">
        <v>0</v>
      </c>
      <c r="L53" s="469">
        <v>0</v>
      </c>
      <c r="M53" s="461">
        <f t="shared" si="0"/>
        <v>0</v>
      </c>
      <c r="N53" s="469">
        <v>2.9899155</v>
      </c>
      <c r="O53" s="469">
        <v>2.9899155</v>
      </c>
      <c r="P53" s="469">
        <v>0.3297918</v>
      </c>
      <c r="Q53" s="463"/>
      <c r="R53" s="463"/>
      <c r="S53" s="463"/>
    </row>
    <row r="54" spans="1:19" s="458" customFormat="1" ht="18" customHeight="1">
      <c r="A54" s="473" t="s">
        <v>706</v>
      </c>
      <c r="B54" s="460" t="s">
        <v>292</v>
      </c>
      <c r="C54" s="463"/>
      <c r="D54" s="464">
        <v>3.2734413</v>
      </c>
      <c r="E54" s="463"/>
      <c r="F54" s="464">
        <v>3.2734413</v>
      </c>
      <c r="G54" s="463"/>
      <c r="H54" s="465">
        <v>0.125</v>
      </c>
      <c r="I54" s="459" t="s">
        <v>305</v>
      </c>
      <c r="J54" s="459" t="s">
        <v>304</v>
      </c>
      <c r="K54" s="461">
        <v>0</v>
      </c>
      <c r="L54" s="469">
        <v>0</v>
      </c>
      <c r="M54" s="461">
        <f t="shared" si="0"/>
        <v>0</v>
      </c>
      <c r="N54" s="469">
        <v>0</v>
      </c>
      <c r="O54" s="469">
        <v>3.2734413</v>
      </c>
      <c r="P54" s="469">
        <v>0</v>
      </c>
      <c r="Q54" s="463"/>
      <c r="R54" s="463"/>
      <c r="S54" s="463"/>
    </row>
    <row r="55" spans="1:19" s="458" customFormat="1" ht="24.75" customHeight="1">
      <c r="A55" s="473" t="s">
        <v>707</v>
      </c>
      <c r="B55" s="460" t="s">
        <v>300</v>
      </c>
      <c r="C55" s="463"/>
      <c r="D55" s="464">
        <v>22.2580377</v>
      </c>
      <c r="E55" s="463"/>
      <c r="F55" s="464">
        <v>22.2580377</v>
      </c>
      <c r="G55" s="463"/>
      <c r="H55" s="465">
        <v>0.125</v>
      </c>
      <c r="I55" s="459" t="s">
        <v>305</v>
      </c>
      <c r="J55" s="459" t="s">
        <v>304</v>
      </c>
      <c r="K55" s="461">
        <v>0</v>
      </c>
      <c r="L55" s="461">
        <v>0</v>
      </c>
      <c r="M55" s="461">
        <f t="shared" si="0"/>
        <v>0</v>
      </c>
      <c r="N55" s="469">
        <v>0</v>
      </c>
      <c r="O55" s="469">
        <v>22.2580377</v>
      </c>
      <c r="P55" s="469">
        <v>0.099094</v>
      </c>
      <c r="Q55" s="463"/>
      <c r="R55" s="463"/>
      <c r="S55" s="463"/>
    </row>
    <row r="56" spans="1:19" s="458" customFormat="1" ht="18" customHeight="1">
      <c r="A56" s="463" t="s">
        <v>708</v>
      </c>
      <c r="B56" s="460" t="s">
        <v>301</v>
      </c>
      <c r="C56" s="463"/>
      <c r="D56" s="464">
        <v>1.4048575</v>
      </c>
      <c r="E56" s="463"/>
      <c r="F56" s="464">
        <v>1.4048575</v>
      </c>
      <c r="G56" s="463"/>
      <c r="H56" s="465">
        <v>0.125</v>
      </c>
      <c r="I56" s="459" t="s">
        <v>305</v>
      </c>
      <c r="J56" s="459" t="s">
        <v>304</v>
      </c>
      <c r="K56" s="461">
        <v>0</v>
      </c>
      <c r="L56" s="461">
        <v>0.1404855</v>
      </c>
      <c r="M56" s="461">
        <f t="shared" si="0"/>
        <v>0.1404855</v>
      </c>
      <c r="N56" s="469">
        <v>0</v>
      </c>
      <c r="O56" s="469">
        <v>1.264372</v>
      </c>
      <c r="P56" s="469">
        <v>0.0072167</v>
      </c>
      <c r="Q56" s="463"/>
      <c r="R56" s="463"/>
      <c r="S56" s="463"/>
    </row>
    <row r="57" spans="1:19" s="458" customFormat="1" ht="18" customHeight="1">
      <c r="A57" s="463" t="s">
        <v>708</v>
      </c>
      <c r="B57" s="460" t="s">
        <v>292</v>
      </c>
      <c r="C57" s="463"/>
      <c r="D57" s="464">
        <v>2.1820109</v>
      </c>
      <c r="E57" s="463"/>
      <c r="F57" s="464">
        <v>2.1820109</v>
      </c>
      <c r="G57" s="463"/>
      <c r="H57" s="465">
        <v>0.125</v>
      </c>
      <c r="I57" s="459" t="s">
        <v>305</v>
      </c>
      <c r="J57" s="459" t="s">
        <v>304</v>
      </c>
      <c r="K57" s="461">
        <v>0</v>
      </c>
      <c r="L57" s="461">
        <v>0.218201</v>
      </c>
      <c r="M57" s="461">
        <f t="shared" si="0"/>
        <v>0.218201</v>
      </c>
      <c r="N57" s="469">
        <v>0</v>
      </c>
      <c r="O57" s="469">
        <v>1.9638099</v>
      </c>
      <c r="P57" s="469">
        <v>0.0044836</v>
      </c>
      <c r="Q57" s="463"/>
      <c r="R57" s="463"/>
      <c r="S57" s="463"/>
    </row>
    <row r="58" spans="1:19" s="458" customFormat="1" ht="23.25" customHeight="1">
      <c r="A58" s="463" t="s">
        <v>683</v>
      </c>
      <c r="B58" s="460" t="s">
        <v>289</v>
      </c>
      <c r="C58" s="463"/>
      <c r="D58" s="464">
        <v>2.7894801</v>
      </c>
      <c r="E58" s="463"/>
      <c r="F58" s="464">
        <v>2.7894801</v>
      </c>
      <c r="G58" s="463"/>
      <c r="H58" s="465">
        <v>0.125</v>
      </c>
      <c r="I58" s="459" t="s">
        <v>305</v>
      </c>
      <c r="J58" s="459" t="s">
        <v>304</v>
      </c>
      <c r="K58" s="461">
        <v>0</v>
      </c>
      <c r="L58" s="461">
        <v>0.278948</v>
      </c>
      <c r="M58" s="461">
        <f t="shared" si="0"/>
        <v>0.278948</v>
      </c>
      <c r="N58" s="469">
        <v>0</v>
      </c>
      <c r="O58" s="469">
        <v>2.5105321</v>
      </c>
      <c r="P58" s="469">
        <v>0.0124189</v>
      </c>
      <c r="Q58" s="463"/>
      <c r="R58" s="463"/>
      <c r="S58" s="463"/>
    </row>
    <row r="59" spans="1:19" s="458" customFormat="1" ht="20.25" customHeight="1">
      <c r="A59" s="463" t="s">
        <v>709</v>
      </c>
      <c r="B59" s="460" t="s">
        <v>302</v>
      </c>
      <c r="C59" s="463"/>
      <c r="D59" s="464">
        <v>19.0867547</v>
      </c>
      <c r="E59" s="463"/>
      <c r="F59" s="464">
        <v>19.0867547</v>
      </c>
      <c r="G59" s="463"/>
      <c r="H59" s="465">
        <v>0.125</v>
      </c>
      <c r="I59" s="459" t="s">
        <v>303</v>
      </c>
      <c r="J59" s="459" t="s">
        <v>304</v>
      </c>
      <c r="K59" s="461">
        <v>0</v>
      </c>
      <c r="L59" s="461">
        <v>1.9086755</v>
      </c>
      <c r="M59" s="461">
        <f t="shared" si="0"/>
        <v>1.9086755</v>
      </c>
      <c r="N59" s="469">
        <v>0</v>
      </c>
      <c r="O59" s="469">
        <v>17.1780792</v>
      </c>
      <c r="P59" s="469">
        <v>0.0849753</v>
      </c>
      <c r="Q59" s="463"/>
      <c r="R59" s="463"/>
      <c r="S59" s="463"/>
    </row>
    <row r="60" spans="1:19" s="458" customFormat="1" ht="12.75">
      <c r="A60" s="475" t="s">
        <v>525</v>
      </c>
      <c r="B60" s="463"/>
      <c r="C60" s="463"/>
      <c r="D60" s="476">
        <f>SUM(D23:D59)</f>
        <v>181.78754979999997</v>
      </c>
      <c r="E60" s="463"/>
      <c r="F60" s="476">
        <f>SUM(F23:F59)</f>
        <v>181.78754979999997</v>
      </c>
      <c r="G60" s="463"/>
      <c r="H60" s="463"/>
      <c r="I60" s="463"/>
      <c r="J60" s="463"/>
      <c r="K60" s="463"/>
      <c r="L60" s="476">
        <f>SUM(L23:L59)</f>
        <v>10.144575999999999</v>
      </c>
      <c r="M60" s="476">
        <f>SUM(M23:M59)</f>
        <v>10.144575999999999</v>
      </c>
      <c r="N60" s="476">
        <f>SUM(N23:N59)</f>
        <v>105.5108831</v>
      </c>
      <c r="O60" s="476">
        <f>SUM(O23:O59)</f>
        <v>171.6484749</v>
      </c>
      <c r="P60" s="476">
        <f>SUM(P23:P59)</f>
        <v>12.513291800000001</v>
      </c>
      <c r="Q60" s="463"/>
      <c r="R60" s="463"/>
      <c r="S60" s="463"/>
    </row>
    <row r="61" spans="1:19" s="458" customFormat="1" ht="12.75">
      <c r="A61" s="475" t="s">
        <v>847</v>
      </c>
      <c r="B61" s="463"/>
      <c r="C61" s="463"/>
      <c r="D61" s="463"/>
      <c r="E61" s="463"/>
      <c r="F61" s="463"/>
      <c r="G61" s="463"/>
      <c r="H61" s="463"/>
      <c r="I61" s="463"/>
      <c r="J61" s="463"/>
      <c r="K61" s="463"/>
      <c r="L61" s="463"/>
      <c r="M61" s="463"/>
      <c r="N61" s="463"/>
      <c r="O61" s="463"/>
      <c r="P61" s="463"/>
      <c r="Q61" s="463"/>
      <c r="R61" s="463"/>
      <c r="S61" s="463"/>
    </row>
    <row r="62" spans="1:19" s="458" customFormat="1" ht="25.5">
      <c r="A62" s="478">
        <v>48703004</v>
      </c>
      <c r="B62" s="460" t="s">
        <v>519</v>
      </c>
      <c r="C62" s="463"/>
      <c r="D62" s="464">
        <v>17.93</v>
      </c>
      <c r="E62" s="463"/>
      <c r="F62" s="464">
        <v>17.93</v>
      </c>
      <c r="G62" s="463"/>
      <c r="H62" s="465">
        <v>0.1125</v>
      </c>
      <c r="I62" s="459" t="s">
        <v>305</v>
      </c>
      <c r="J62" s="459" t="s">
        <v>304</v>
      </c>
      <c r="K62" s="464">
        <v>1.24</v>
      </c>
      <c r="L62" s="464">
        <v>1.24</v>
      </c>
      <c r="M62" s="461">
        <f aca="true" t="shared" si="1" ref="M62:M67">K62+L62</f>
        <v>2.48</v>
      </c>
      <c r="N62" s="469">
        <v>16.38</v>
      </c>
      <c r="O62" s="469">
        <f aca="true" t="shared" si="2" ref="O62:O67">F62-M62</f>
        <v>15.45</v>
      </c>
      <c r="P62" s="469">
        <v>1.83</v>
      </c>
      <c r="Q62" s="463"/>
      <c r="R62" s="463"/>
      <c r="S62" s="463"/>
    </row>
    <row r="63" spans="1:19" s="458" customFormat="1" ht="38.25">
      <c r="A63" s="478">
        <v>48703005</v>
      </c>
      <c r="B63" s="460" t="s">
        <v>520</v>
      </c>
      <c r="C63" s="463"/>
      <c r="D63" s="464">
        <v>6.98</v>
      </c>
      <c r="E63" s="463"/>
      <c r="F63" s="477">
        <f>D63</f>
        <v>6.98</v>
      </c>
      <c r="G63" s="463"/>
      <c r="H63" s="465">
        <v>0.125</v>
      </c>
      <c r="I63" s="459" t="s">
        <v>305</v>
      </c>
      <c r="J63" s="459" t="s">
        <v>304</v>
      </c>
      <c r="K63" s="464">
        <v>0</v>
      </c>
      <c r="L63" s="464">
        <v>0</v>
      </c>
      <c r="M63" s="461">
        <f t="shared" si="1"/>
        <v>0</v>
      </c>
      <c r="N63" s="464">
        <v>0</v>
      </c>
      <c r="O63" s="469">
        <f t="shared" si="2"/>
        <v>6.98</v>
      </c>
      <c r="P63" s="463"/>
      <c r="Q63" s="463"/>
      <c r="R63" s="463"/>
      <c r="S63" s="463"/>
    </row>
    <row r="64" spans="1:19" s="458" customFormat="1" ht="25.5">
      <c r="A64" s="478">
        <v>48703007</v>
      </c>
      <c r="B64" s="460" t="s">
        <v>521</v>
      </c>
      <c r="C64" s="463"/>
      <c r="D64" s="464">
        <v>2.52</v>
      </c>
      <c r="E64" s="463"/>
      <c r="F64" s="477">
        <f>D64</f>
        <v>2.52</v>
      </c>
      <c r="G64" s="463"/>
      <c r="H64" s="465">
        <v>0.125</v>
      </c>
      <c r="I64" s="459" t="s">
        <v>305</v>
      </c>
      <c r="J64" s="459" t="s">
        <v>304</v>
      </c>
      <c r="K64" s="464">
        <v>0</v>
      </c>
      <c r="L64" s="464">
        <v>0</v>
      </c>
      <c r="M64" s="461">
        <f t="shared" si="1"/>
        <v>0</v>
      </c>
      <c r="N64" s="464">
        <v>0</v>
      </c>
      <c r="O64" s="469">
        <f t="shared" si="2"/>
        <v>2.52</v>
      </c>
      <c r="P64" s="463"/>
      <c r="Q64" s="463"/>
      <c r="R64" s="463"/>
      <c r="S64" s="463"/>
    </row>
    <row r="65" spans="1:19" s="458" customFormat="1" ht="25.5">
      <c r="A65" s="478">
        <v>48703008</v>
      </c>
      <c r="B65" s="460" t="s">
        <v>522</v>
      </c>
      <c r="C65" s="463"/>
      <c r="D65" s="464">
        <v>1.98</v>
      </c>
      <c r="E65" s="463"/>
      <c r="F65" s="477">
        <f>D65</f>
        <v>1.98</v>
      </c>
      <c r="G65" s="463"/>
      <c r="H65" s="465">
        <v>0.125</v>
      </c>
      <c r="I65" s="459" t="s">
        <v>305</v>
      </c>
      <c r="J65" s="459" t="s">
        <v>304</v>
      </c>
      <c r="K65" s="464">
        <v>0</v>
      </c>
      <c r="L65" s="464">
        <v>0</v>
      </c>
      <c r="M65" s="461">
        <f t="shared" si="1"/>
        <v>0</v>
      </c>
      <c r="N65" s="464">
        <v>0</v>
      </c>
      <c r="O65" s="469">
        <f t="shared" si="2"/>
        <v>1.98</v>
      </c>
      <c r="P65" s="463"/>
      <c r="Q65" s="463"/>
      <c r="R65" s="463"/>
      <c r="S65" s="463"/>
    </row>
    <row r="66" spans="1:19" s="458" customFormat="1" ht="25.5">
      <c r="A66" s="478">
        <v>487030017</v>
      </c>
      <c r="B66" s="460" t="s">
        <v>523</v>
      </c>
      <c r="C66" s="463"/>
      <c r="D66" s="464">
        <v>1.4</v>
      </c>
      <c r="E66" s="463"/>
      <c r="F66" s="477">
        <f>D66</f>
        <v>1.4</v>
      </c>
      <c r="G66" s="463"/>
      <c r="H66" s="465">
        <v>0.125</v>
      </c>
      <c r="I66" s="459" t="s">
        <v>305</v>
      </c>
      <c r="J66" s="459" t="s">
        <v>304</v>
      </c>
      <c r="K66" s="464">
        <v>0</v>
      </c>
      <c r="L66" s="464">
        <v>0</v>
      </c>
      <c r="M66" s="461">
        <f t="shared" si="1"/>
        <v>0</v>
      </c>
      <c r="N66" s="464">
        <v>0</v>
      </c>
      <c r="O66" s="469">
        <f t="shared" si="2"/>
        <v>1.4</v>
      </c>
      <c r="P66" s="463"/>
      <c r="Q66" s="463"/>
      <c r="R66" s="463"/>
      <c r="S66" s="463"/>
    </row>
    <row r="67" spans="1:19" s="458" customFormat="1" ht="25.5">
      <c r="A67" s="478">
        <v>48703019</v>
      </c>
      <c r="B67" s="460" t="s">
        <v>524</v>
      </c>
      <c r="C67" s="463"/>
      <c r="D67" s="464">
        <v>1.65</v>
      </c>
      <c r="E67" s="463"/>
      <c r="F67" s="477">
        <f>D67</f>
        <v>1.65</v>
      </c>
      <c r="G67" s="463"/>
      <c r="H67" s="465">
        <v>0.125</v>
      </c>
      <c r="I67" s="459" t="s">
        <v>305</v>
      </c>
      <c r="J67" s="459" t="s">
        <v>304</v>
      </c>
      <c r="K67" s="464">
        <v>0</v>
      </c>
      <c r="L67" s="464">
        <v>0</v>
      </c>
      <c r="M67" s="461">
        <f t="shared" si="1"/>
        <v>0</v>
      </c>
      <c r="N67" s="464">
        <v>0</v>
      </c>
      <c r="O67" s="469">
        <f t="shared" si="2"/>
        <v>1.65</v>
      </c>
      <c r="P67" s="463"/>
      <c r="Q67" s="463"/>
      <c r="R67" s="463"/>
      <c r="S67" s="463"/>
    </row>
    <row r="68" spans="1:19" s="458" customFormat="1" ht="12.75">
      <c r="A68" s="475" t="s">
        <v>526</v>
      </c>
      <c r="B68" s="463"/>
      <c r="C68" s="463"/>
      <c r="D68" s="476">
        <f>SUM(D62:D67)</f>
        <v>32.46</v>
      </c>
      <c r="E68" s="463"/>
      <c r="F68" s="476">
        <f>SUM(F62:F67)</f>
        <v>32.46</v>
      </c>
      <c r="G68" s="463"/>
      <c r="H68" s="463"/>
      <c r="I68" s="463"/>
      <c r="J68" s="463"/>
      <c r="K68" s="464"/>
      <c r="L68" s="476">
        <f>SUM(L62:L67)</f>
        <v>1.24</v>
      </c>
      <c r="M68" s="476">
        <f>SUM(M62:M67)</f>
        <v>2.48</v>
      </c>
      <c r="N68" s="476">
        <f>SUM(N62:N67)</f>
        <v>16.38</v>
      </c>
      <c r="O68" s="476">
        <f>SUM(O62:O67)</f>
        <v>29.979999999999997</v>
      </c>
      <c r="P68" s="476">
        <f>SUM(P62:P67)</f>
        <v>1.83</v>
      </c>
      <c r="Q68" s="463"/>
      <c r="R68" s="463"/>
      <c r="S68" s="463"/>
    </row>
    <row r="69" spans="11:15" s="458" customFormat="1" ht="12.75">
      <c r="K69" s="474"/>
      <c r="L69" s="474"/>
      <c r="M69" s="474"/>
      <c r="N69" s="474"/>
      <c r="O69" s="474"/>
    </row>
    <row r="70" spans="11:15" s="458" customFormat="1" ht="12.75">
      <c r="K70" s="474"/>
      <c r="L70" s="474"/>
      <c r="M70" s="474"/>
      <c r="N70" s="474"/>
      <c r="O70" s="474"/>
    </row>
    <row r="71" spans="11:15" s="458" customFormat="1" ht="12.75">
      <c r="K71" s="474"/>
      <c r="L71" s="474"/>
      <c r="M71" s="474"/>
      <c r="N71" s="474"/>
      <c r="O71" s="474"/>
    </row>
    <row r="72" spans="11:15" s="458" customFormat="1" ht="12.75">
      <c r="K72" s="474"/>
      <c r="L72" s="474"/>
      <c r="M72" s="474"/>
      <c r="N72" s="474"/>
      <c r="O72" s="474"/>
    </row>
    <row r="73" spans="11:15" s="458" customFormat="1" ht="12.75">
      <c r="K73" s="474"/>
      <c r="L73" s="474"/>
      <c r="M73" s="474"/>
      <c r="N73" s="474"/>
      <c r="O73" s="474"/>
    </row>
    <row r="74" spans="11:15" s="458" customFormat="1" ht="12.75">
      <c r="K74" s="474"/>
      <c r="L74" s="474"/>
      <c r="M74" s="474"/>
      <c r="N74" s="474"/>
      <c r="O74" s="474"/>
    </row>
    <row r="75" spans="11:15" s="458" customFormat="1" ht="12.75">
      <c r="K75" s="474"/>
      <c r="L75" s="474"/>
      <c r="M75" s="474"/>
      <c r="N75" s="474"/>
      <c r="O75" s="474"/>
    </row>
    <row r="76" spans="11:15" s="458" customFormat="1" ht="12.75">
      <c r="K76" s="474"/>
      <c r="L76" s="474"/>
      <c r="M76" s="474"/>
      <c r="N76" s="474"/>
      <c r="O76" s="474"/>
    </row>
    <row r="77" spans="11:15" s="458" customFormat="1" ht="12.75">
      <c r="K77" s="474"/>
      <c r="L77" s="474"/>
      <c r="M77" s="474"/>
      <c r="N77" s="474"/>
      <c r="O77" s="474"/>
    </row>
    <row r="78" spans="11:15" s="458" customFormat="1" ht="12.75">
      <c r="K78" s="474"/>
      <c r="L78" s="474"/>
      <c r="M78" s="474"/>
      <c r="N78" s="474"/>
      <c r="O78" s="474"/>
    </row>
    <row r="79" spans="11:15" s="458" customFormat="1" ht="12.75">
      <c r="K79" s="474"/>
      <c r="L79" s="474"/>
      <c r="M79" s="474"/>
      <c r="N79" s="474"/>
      <c r="O79" s="474"/>
    </row>
    <row r="80" spans="11:15" s="458" customFormat="1" ht="12.75">
      <c r="K80" s="474"/>
      <c r="L80" s="474"/>
      <c r="M80" s="474"/>
      <c r="N80" s="474"/>
      <c r="O80" s="474"/>
    </row>
    <row r="81" spans="11:15" s="458" customFormat="1" ht="12.75">
      <c r="K81" s="474"/>
      <c r="L81" s="474"/>
      <c r="M81" s="474"/>
      <c r="N81" s="474"/>
      <c r="O81" s="474"/>
    </row>
    <row r="82" spans="11:15" ht="12.75">
      <c r="K82" s="457"/>
      <c r="L82" s="457"/>
      <c r="M82" s="457"/>
      <c r="N82" s="457"/>
      <c r="O82" s="457"/>
    </row>
    <row r="83" spans="11:15" ht="12.75">
      <c r="K83" s="457"/>
      <c r="L83" s="457"/>
      <c r="M83" s="457"/>
      <c r="N83" s="457"/>
      <c r="O83" s="457"/>
    </row>
    <row r="84" spans="11:15" ht="12.75">
      <c r="K84" s="457"/>
      <c r="L84" s="457"/>
      <c r="M84" s="457"/>
      <c r="N84" s="457"/>
      <c r="O84" s="457"/>
    </row>
    <row r="85" spans="11:15" ht="12.75">
      <c r="K85" s="457"/>
      <c r="L85" s="457"/>
      <c r="M85" s="457"/>
      <c r="N85" s="457"/>
      <c r="O85" s="457"/>
    </row>
    <row r="86" spans="11:15" ht="12.75">
      <c r="K86" s="457"/>
      <c r="L86" s="457"/>
      <c r="M86" s="457"/>
      <c r="N86" s="457"/>
      <c r="O86" s="457"/>
    </row>
    <row r="87" spans="11:15" ht="12.75">
      <c r="K87" s="457"/>
      <c r="L87" s="457"/>
      <c r="M87" s="457"/>
      <c r="N87" s="457"/>
      <c r="O87" s="457"/>
    </row>
    <row r="88" spans="11:15" ht="12.75">
      <c r="K88" s="457"/>
      <c r="L88" s="457"/>
      <c r="M88" s="457"/>
      <c r="N88" s="457"/>
      <c r="O88" s="457"/>
    </row>
    <row r="89" spans="11:15" ht="12.75">
      <c r="K89" s="457"/>
      <c r="L89" s="457"/>
      <c r="M89" s="457"/>
      <c r="N89" s="457"/>
      <c r="O89" s="457"/>
    </row>
    <row r="90" spans="11:15" ht="12.75">
      <c r="K90" s="457"/>
      <c r="L90" s="457"/>
      <c r="M90" s="457"/>
      <c r="N90" s="457"/>
      <c r="O90" s="457"/>
    </row>
    <row r="91" spans="11:15" ht="12.75">
      <c r="K91" s="457"/>
      <c r="L91" s="457"/>
      <c r="M91" s="457"/>
      <c r="N91" s="457"/>
      <c r="O91" s="457"/>
    </row>
    <row r="92" spans="11:15" ht="12.75">
      <c r="K92" s="457"/>
      <c r="L92" s="457"/>
      <c r="M92" s="457"/>
      <c r="N92" s="457"/>
      <c r="O92" s="457"/>
    </row>
    <row r="93" spans="11:15" ht="12.75">
      <c r="K93" s="457"/>
      <c r="L93" s="457"/>
      <c r="M93" s="457"/>
      <c r="N93" s="457"/>
      <c r="O93" s="457"/>
    </row>
    <row r="94" spans="11:15" ht="12.75">
      <c r="K94" s="457"/>
      <c r="L94" s="457"/>
      <c r="M94" s="457"/>
      <c r="N94" s="457"/>
      <c r="O94" s="457"/>
    </row>
    <row r="95" spans="11:15" ht="12.75">
      <c r="K95" s="457"/>
      <c r="L95" s="457"/>
      <c r="M95" s="457"/>
      <c r="N95" s="457"/>
      <c r="O95" s="457"/>
    </row>
    <row r="96" spans="11:15" ht="12.75">
      <c r="K96" s="457"/>
      <c r="L96" s="457"/>
      <c r="M96" s="457"/>
      <c r="N96" s="457"/>
      <c r="O96" s="457"/>
    </row>
    <row r="97" spans="11:15" ht="12.75">
      <c r="K97" s="457"/>
      <c r="L97" s="457"/>
      <c r="M97" s="457"/>
      <c r="N97" s="457"/>
      <c r="O97" s="457"/>
    </row>
    <row r="98" spans="11:15" ht="12.75">
      <c r="K98" s="457"/>
      <c r="L98" s="457"/>
      <c r="M98" s="457"/>
      <c r="N98" s="457"/>
      <c r="O98" s="457"/>
    </row>
    <row r="99" spans="11:15" ht="12.75">
      <c r="K99" s="457"/>
      <c r="L99" s="457"/>
      <c r="M99" s="457"/>
      <c r="N99" s="457"/>
      <c r="O99" s="457"/>
    </row>
    <row r="100" spans="11:15" ht="12.75">
      <c r="K100" s="457"/>
      <c r="L100" s="457"/>
      <c r="M100" s="457"/>
      <c r="N100" s="457"/>
      <c r="O100" s="457"/>
    </row>
    <row r="101" spans="11:15" ht="12.75">
      <c r="K101" s="457"/>
      <c r="L101" s="457"/>
      <c r="M101" s="457"/>
      <c r="N101" s="457"/>
      <c r="O101" s="457"/>
    </row>
    <row r="102" spans="11:15" ht="12.75">
      <c r="K102" s="457"/>
      <c r="L102" s="457"/>
      <c r="M102" s="457"/>
      <c r="N102" s="457"/>
      <c r="O102" s="457"/>
    </row>
    <row r="103" spans="11:15" ht="12.75">
      <c r="K103" s="457"/>
      <c r="L103" s="457"/>
      <c r="M103" s="457"/>
      <c r="N103" s="457"/>
      <c r="O103" s="457"/>
    </row>
    <row r="104" spans="11:15" ht="12.75">
      <c r="K104" s="457"/>
      <c r="L104" s="457"/>
      <c r="M104" s="457"/>
      <c r="N104" s="457"/>
      <c r="O104" s="457"/>
    </row>
    <row r="105" spans="11:15" ht="12.75">
      <c r="K105" s="457"/>
      <c r="L105" s="457"/>
      <c r="M105" s="457"/>
      <c r="N105" s="457"/>
      <c r="O105" s="457"/>
    </row>
    <row r="106" spans="11:15" ht="12.75">
      <c r="K106" s="457"/>
      <c r="L106" s="457"/>
      <c r="M106" s="457"/>
      <c r="N106" s="457"/>
      <c r="O106" s="457"/>
    </row>
    <row r="107" spans="11:15" ht="12.75">
      <c r="K107" s="457"/>
      <c r="L107" s="457"/>
      <c r="M107" s="457"/>
      <c r="N107" s="457"/>
      <c r="O107" s="457"/>
    </row>
    <row r="108" spans="11:15" ht="12.75">
      <c r="K108" s="457"/>
      <c r="L108" s="457"/>
      <c r="M108" s="457"/>
      <c r="N108" s="457"/>
      <c r="O108" s="457"/>
    </row>
    <row r="109" spans="11:15" ht="12.75">
      <c r="K109" s="457"/>
      <c r="L109" s="457"/>
      <c r="M109" s="457"/>
      <c r="N109" s="457"/>
      <c r="O109" s="457"/>
    </row>
    <row r="110" spans="11:15" ht="12.75">
      <c r="K110" s="457"/>
      <c r="L110" s="457"/>
      <c r="M110" s="457"/>
      <c r="N110" s="457"/>
      <c r="O110" s="457"/>
    </row>
    <row r="111" spans="11:15" ht="12.75">
      <c r="K111" s="457"/>
      <c r="L111" s="457"/>
      <c r="M111" s="457"/>
      <c r="N111" s="457"/>
      <c r="O111" s="457"/>
    </row>
    <row r="112" spans="11:15" ht="12.75">
      <c r="K112" s="457"/>
      <c r="L112" s="457"/>
      <c r="M112" s="457"/>
      <c r="N112" s="457"/>
      <c r="O112" s="457"/>
    </row>
    <row r="113" spans="11:15" ht="12.75">
      <c r="K113" s="457"/>
      <c r="L113" s="457"/>
      <c r="M113" s="457"/>
      <c r="N113" s="457"/>
      <c r="O113" s="457"/>
    </row>
    <row r="114" spans="11:15" ht="12.75">
      <c r="K114" s="457"/>
      <c r="L114" s="457"/>
      <c r="M114" s="457"/>
      <c r="N114" s="457"/>
      <c r="O114" s="457"/>
    </row>
    <row r="115" spans="11:15" ht="12.75">
      <c r="K115" s="457"/>
      <c r="L115" s="457"/>
      <c r="M115" s="457"/>
      <c r="N115" s="457"/>
      <c r="O115" s="457"/>
    </row>
    <row r="116" spans="11:15" ht="12.75">
      <c r="K116" s="457"/>
      <c r="L116" s="457"/>
      <c r="M116" s="457"/>
      <c r="N116" s="457"/>
      <c r="O116" s="457"/>
    </row>
    <row r="117" spans="11:15" ht="12.75">
      <c r="K117" s="457"/>
      <c r="L117" s="457"/>
      <c r="M117" s="457"/>
      <c r="N117" s="457"/>
      <c r="O117" s="457"/>
    </row>
    <row r="118" spans="11:15" ht="12.75">
      <c r="K118" s="457"/>
      <c r="L118" s="457"/>
      <c r="M118" s="457"/>
      <c r="N118" s="457"/>
      <c r="O118" s="457"/>
    </row>
    <row r="119" spans="11:15" ht="12.75">
      <c r="K119" s="457"/>
      <c r="L119" s="457"/>
      <c r="M119" s="457"/>
      <c r="N119" s="457"/>
      <c r="O119" s="457"/>
    </row>
    <row r="120" spans="11:15" ht="12.75">
      <c r="K120" s="457"/>
      <c r="L120" s="457"/>
      <c r="M120" s="457"/>
      <c r="N120" s="457"/>
      <c r="O120" s="457"/>
    </row>
    <row r="121" spans="11:15" ht="12.75">
      <c r="K121" s="457"/>
      <c r="L121" s="457"/>
      <c r="M121" s="457"/>
      <c r="N121" s="457"/>
      <c r="O121" s="457"/>
    </row>
    <row r="122" spans="11:15" ht="12.75">
      <c r="K122" s="457"/>
      <c r="L122" s="457"/>
      <c r="M122" s="457"/>
      <c r="N122" s="457"/>
      <c r="O122" s="457"/>
    </row>
    <row r="123" spans="11:15" ht="12.75">
      <c r="K123" s="457"/>
      <c r="L123" s="457"/>
      <c r="M123" s="457"/>
      <c r="N123" s="457"/>
      <c r="O123" s="457"/>
    </row>
    <row r="124" spans="11:15" ht="12.75">
      <c r="K124" s="457"/>
      <c r="L124" s="457"/>
      <c r="M124" s="457"/>
      <c r="N124" s="457"/>
      <c r="O124" s="457"/>
    </row>
    <row r="125" spans="11:15" ht="12.75">
      <c r="K125" s="457"/>
      <c r="L125" s="457"/>
      <c r="M125" s="457"/>
      <c r="N125" s="457"/>
      <c r="O125" s="457"/>
    </row>
    <row r="126" spans="11:15" ht="12.75">
      <c r="K126" s="457"/>
      <c r="L126" s="457"/>
      <c r="M126" s="457"/>
      <c r="N126" s="457"/>
      <c r="O126" s="457"/>
    </row>
    <row r="127" spans="11:15" ht="12.75">
      <c r="K127" s="457"/>
      <c r="L127" s="457"/>
      <c r="M127" s="457"/>
      <c r="N127" s="457"/>
      <c r="O127" s="457"/>
    </row>
    <row r="128" spans="11:15" ht="12.75">
      <c r="K128" s="457"/>
      <c r="L128" s="457"/>
      <c r="M128" s="457"/>
      <c r="N128" s="457"/>
      <c r="O128" s="457"/>
    </row>
    <row r="129" spans="11:15" ht="12.75">
      <c r="K129" s="457"/>
      <c r="L129" s="457"/>
      <c r="M129" s="457"/>
      <c r="N129" s="457"/>
      <c r="O129" s="457"/>
    </row>
  </sheetData>
  <sheetProtection/>
  <mergeCells count="1">
    <mergeCell ref="A3:S3"/>
  </mergeCells>
  <printOptions/>
  <pageMargins left="0.1968503937007874" right="0.31496062992125984" top="0.5118110236220472" bottom="0.4724409448818898" header="0.2755905511811024" footer="0.1968503937007874"/>
  <pageSetup horizontalDpi="600" verticalDpi="600" orientation="landscape" paperSize="9" scale="85" r:id="rId1"/>
  <headerFooter alignWithMargins="0">
    <oddFooter>&amp;L&amp;F-&amp;A&amp;CPage 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M26"/>
  <sheetViews>
    <sheetView zoomScalePageLayoutView="0" workbookViewId="0" topLeftCell="A1">
      <selection activeCell="Y6" sqref="Y6"/>
    </sheetView>
  </sheetViews>
  <sheetFormatPr defaultColWidth="9.140625" defaultRowHeight="19.5" customHeight="1"/>
  <cols>
    <col min="1" max="1" width="34.7109375" style="220" customWidth="1"/>
    <col min="2" max="2" width="9.8515625" style="220" hidden="1" customWidth="1"/>
    <col min="3" max="3" width="7.421875" style="220" hidden="1" customWidth="1"/>
    <col min="4" max="4" width="10.421875" style="220" hidden="1" customWidth="1"/>
    <col min="5" max="5" width="10.28125" style="220" hidden="1" customWidth="1"/>
    <col min="6" max="6" width="4.7109375" style="220" hidden="1" customWidth="1"/>
    <col min="7" max="7" width="0.13671875" style="220" hidden="1" customWidth="1"/>
    <col min="8" max="8" width="10.28125" style="220" hidden="1" customWidth="1"/>
    <col min="9" max="9" width="8.7109375" style="220" hidden="1" customWidth="1"/>
    <col min="10" max="11" width="9.57421875" style="220" hidden="1" customWidth="1"/>
    <col min="12" max="12" width="10.421875" style="220" hidden="1" customWidth="1"/>
    <col min="13" max="13" width="8.57421875" style="220" hidden="1" customWidth="1"/>
    <col min="14" max="14" width="12.28125" style="220" hidden="1" customWidth="1"/>
    <col min="15" max="15" width="9.7109375" style="220" hidden="1" customWidth="1"/>
    <col min="16" max="16" width="12.00390625" style="220" hidden="1" customWidth="1"/>
    <col min="17" max="18" width="11.00390625" style="220" hidden="1" customWidth="1"/>
    <col min="19" max="19" width="12.421875" style="220" hidden="1" customWidth="1"/>
    <col min="20" max="20" width="10.8515625" style="220" hidden="1" customWidth="1"/>
    <col min="21" max="21" width="11.8515625" style="220" customWidth="1"/>
    <col min="22" max="22" width="10.140625" style="220" customWidth="1"/>
    <col min="23" max="23" width="12.00390625" style="220" customWidth="1"/>
    <col min="24" max="24" width="11.00390625" style="220" customWidth="1"/>
    <col min="25" max="25" width="12.00390625" style="220" customWidth="1"/>
    <col min="26" max="26" width="11.00390625" style="220" customWidth="1"/>
    <col min="27" max="16384" width="9.140625" style="220" customWidth="1"/>
  </cols>
  <sheetData>
    <row r="1" spans="5:27" ht="19.5" customHeight="1">
      <c r="E1" s="553"/>
      <c r="F1" s="553"/>
      <c r="G1" s="284"/>
      <c r="H1" s="553" t="s">
        <v>446</v>
      </c>
      <c r="I1" s="553"/>
      <c r="J1" s="284"/>
      <c r="K1" s="284"/>
      <c r="L1" s="553" t="s">
        <v>926</v>
      </c>
      <c r="M1" s="553"/>
      <c r="N1" s="553" t="s">
        <v>274</v>
      </c>
      <c r="O1" s="553"/>
      <c r="P1" s="553" t="s">
        <v>176</v>
      </c>
      <c r="Q1" s="553"/>
      <c r="R1" s="284"/>
      <c r="S1" s="553" t="s">
        <v>867</v>
      </c>
      <c r="T1" s="553"/>
      <c r="U1" s="553" t="s">
        <v>1305</v>
      </c>
      <c r="V1" s="553"/>
      <c r="W1" s="553" t="s">
        <v>1324</v>
      </c>
      <c r="X1" s="553"/>
      <c r="Y1" s="553" t="s">
        <v>876</v>
      </c>
      <c r="Z1" s="553"/>
      <c r="AA1" s="220" t="s">
        <v>876</v>
      </c>
    </row>
    <row r="2" spans="2:27" ht="19.5" customHeight="1">
      <c r="B2" s="220" t="s">
        <v>446</v>
      </c>
      <c r="C2" s="220" t="s">
        <v>926</v>
      </c>
      <c r="D2" s="220" t="s">
        <v>274</v>
      </c>
      <c r="E2" s="554" t="s">
        <v>176</v>
      </c>
      <c r="F2" s="554"/>
      <c r="G2" s="284"/>
      <c r="H2" s="553" t="s">
        <v>416</v>
      </c>
      <c r="I2" s="553"/>
      <c r="J2" s="336" t="s">
        <v>867</v>
      </c>
      <c r="K2" s="336" t="s">
        <v>1305</v>
      </c>
      <c r="L2" s="553" t="s">
        <v>416</v>
      </c>
      <c r="M2" s="553"/>
      <c r="N2" s="553" t="s">
        <v>416</v>
      </c>
      <c r="O2" s="553"/>
      <c r="P2" s="553" t="s">
        <v>1325</v>
      </c>
      <c r="Q2" s="553"/>
      <c r="R2" s="336" t="s">
        <v>1324</v>
      </c>
      <c r="S2" s="553" t="s">
        <v>416</v>
      </c>
      <c r="T2" s="553"/>
      <c r="U2" s="553" t="s">
        <v>1326</v>
      </c>
      <c r="V2" s="553"/>
      <c r="W2" s="553" t="s">
        <v>877</v>
      </c>
      <c r="X2" s="553"/>
      <c r="Y2" s="553" t="s">
        <v>1176</v>
      </c>
      <c r="Z2" s="553"/>
      <c r="AA2" s="220" t="s">
        <v>155</v>
      </c>
    </row>
    <row r="3" spans="1:26" ht="19.5" customHeight="1">
      <c r="A3" s="228" t="s">
        <v>1077</v>
      </c>
      <c r="B3" s="228" t="s">
        <v>1073</v>
      </c>
      <c r="C3" s="228" t="s">
        <v>1073</v>
      </c>
      <c r="D3" s="228" t="s">
        <v>1073</v>
      </c>
      <c r="E3" s="228" t="s">
        <v>1073</v>
      </c>
      <c r="F3" s="228"/>
      <c r="G3" s="228"/>
      <c r="H3" s="228" t="s">
        <v>166</v>
      </c>
      <c r="I3" s="228" t="s">
        <v>49</v>
      </c>
      <c r="J3" s="228" t="s">
        <v>1073</v>
      </c>
      <c r="K3" s="228" t="s">
        <v>1073</v>
      </c>
      <c r="L3" s="228" t="s">
        <v>166</v>
      </c>
      <c r="M3" s="228" t="s">
        <v>49</v>
      </c>
      <c r="N3" s="228" t="s">
        <v>166</v>
      </c>
      <c r="O3" s="228" t="s">
        <v>49</v>
      </c>
      <c r="P3" s="228" t="s">
        <v>166</v>
      </c>
      <c r="Q3" s="228" t="s">
        <v>49</v>
      </c>
      <c r="R3" s="228" t="s">
        <v>1073</v>
      </c>
      <c r="S3" s="228" t="s">
        <v>166</v>
      </c>
      <c r="T3" s="228" t="s">
        <v>49</v>
      </c>
      <c r="U3" s="228" t="s">
        <v>166</v>
      </c>
      <c r="V3" s="228" t="s">
        <v>49</v>
      </c>
      <c r="W3" s="228" t="s">
        <v>166</v>
      </c>
      <c r="X3" s="228" t="s">
        <v>49</v>
      </c>
      <c r="Y3" s="228" t="s">
        <v>166</v>
      </c>
      <c r="Z3" s="228" t="s">
        <v>49</v>
      </c>
    </row>
    <row r="4" spans="1:27" ht="19.5" customHeight="1">
      <c r="A4" s="220" t="s">
        <v>667</v>
      </c>
      <c r="B4" s="291">
        <v>0.22</v>
      </c>
      <c r="C4" s="291">
        <v>0.22</v>
      </c>
      <c r="D4" s="291">
        <v>0.21</v>
      </c>
      <c r="E4" s="313">
        <v>0.205</v>
      </c>
      <c r="F4" s="291"/>
      <c r="G4" s="292"/>
      <c r="H4" s="292">
        <v>4625.08008</v>
      </c>
      <c r="I4" s="292">
        <f>H4*$B4/10</f>
        <v>101.75176176</v>
      </c>
      <c r="J4" s="313">
        <v>0.235</v>
      </c>
      <c r="K4" s="313">
        <v>0.25</v>
      </c>
      <c r="L4" s="292">
        <v>5203.86</v>
      </c>
      <c r="M4" s="292">
        <f>L4*$C4/10</f>
        <v>114.48491999999999</v>
      </c>
      <c r="N4" s="292">
        <v>5679.04</v>
      </c>
      <c r="O4" s="292">
        <f>N4*D4/10</f>
        <v>119.25983999999998</v>
      </c>
      <c r="P4" s="244">
        <v>6234.63</v>
      </c>
      <c r="Q4" s="292">
        <f>P4*E4/10</f>
        <v>127.809915</v>
      </c>
      <c r="R4" s="313">
        <v>0.25</v>
      </c>
      <c r="S4" s="292">
        <v>7077.13</v>
      </c>
      <c r="T4" s="292">
        <f>S4*J4/10</f>
        <v>166.312555</v>
      </c>
      <c r="U4" s="292">
        <v>7229.90388</v>
      </c>
      <c r="V4" s="292">
        <f>U4*K4/10</f>
        <v>180.74759699999998</v>
      </c>
      <c r="W4" s="292">
        <f>3856.451367*2</f>
        <v>7712.902734</v>
      </c>
      <c r="X4" s="292">
        <f>(W4*K4/10)</f>
        <v>192.82256835</v>
      </c>
      <c r="Y4" s="292">
        <v>8854</v>
      </c>
      <c r="Z4" s="292">
        <f>Y4*AA4/10</f>
        <v>221.35</v>
      </c>
      <c r="AA4" s="220">
        <v>0.25</v>
      </c>
    </row>
    <row r="5" spans="1:27" ht="19.5" customHeight="1">
      <c r="A5" s="220" t="s">
        <v>1074</v>
      </c>
      <c r="B5" s="291">
        <v>0.22</v>
      </c>
      <c r="C5" s="291">
        <v>0.22</v>
      </c>
      <c r="D5" s="291">
        <v>0.21</v>
      </c>
      <c r="E5" s="313">
        <v>0.205</v>
      </c>
      <c r="F5" s="291"/>
      <c r="G5" s="292"/>
      <c r="H5" s="292">
        <v>3988.05</v>
      </c>
      <c r="I5" s="292">
        <f>H5*$B5/10</f>
        <v>87.73710000000001</v>
      </c>
      <c r="J5" s="313">
        <v>0.235</v>
      </c>
      <c r="K5" s="313">
        <v>0.25</v>
      </c>
      <c r="L5" s="292">
        <v>4654.43</v>
      </c>
      <c r="M5" s="292">
        <f>L5*$C5/10</f>
        <v>102.39746000000001</v>
      </c>
      <c r="N5" s="292">
        <v>4545.07</v>
      </c>
      <c r="O5" s="292">
        <f>N5*D5/10</f>
        <v>95.44646999999999</v>
      </c>
      <c r="P5" s="244">
        <v>4715.45</v>
      </c>
      <c r="Q5" s="292">
        <f>P5*E5/10</f>
        <v>96.66672499999999</v>
      </c>
      <c r="R5" s="313">
        <v>0.25</v>
      </c>
      <c r="S5" s="292">
        <v>5077.02</v>
      </c>
      <c r="T5" s="292">
        <f>S5*J5/10</f>
        <v>119.30996999999999</v>
      </c>
      <c r="U5" s="292">
        <v>5026.35287</v>
      </c>
      <c r="V5" s="292">
        <f>U5*K5/10</f>
        <v>125.65882174999999</v>
      </c>
      <c r="W5" s="292">
        <f>2570.072102*2</f>
        <v>5140.144204</v>
      </c>
      <c r="X5" s="292">
        <f>(W5*K5/10)</f>
        <v>128.50360510000002</v>
      </c>
      <c r="Y5" s="292">
        <v>6100</v>
      </c>
      <c r="Z5" s="292">
        <f>Y5*AA5/10</f>
        <v>152.5</v>
      </c>
      <c r="AA5" s="220">
        <v>0.25</v>
      </c>
    </row>
    <row r="6" spans="1:27" ht="19.5" customHeight="1">
      <c r="A6" s="220" t="s">
        <v>1075</v>
      </c>
      <c r="B6" s="291">
        <v>0.22</v>
      </c>
      <c r="C6" s="291">
        <v>0.22</v>
      </c>
      <c r="D6" s="291">
        <v>0.21</v>
      </c>
      <c r="E6" s="313">
        <v>0.205</v>
      </c>
      <c r="F6" s="291"/>
      <c r="G6" s="292"/>
      <c r="H6" s="292">
        <v>4670.64033</v>
      </c>
      <c r="I6" s="292">
        <f>H6*$B6/10</f>
        <v>102.75408726</v>
      </c>
      <c r="J6" s="313">
        <v>0.235</v>
      </c>
      <c r="K6" s="313">
        <v>0.25</v>
      </c>
      <c r="L6" s="292">
        <v>5377.1</v>
      </c>
      <c r="M6" s="292">
        <f>L6*$C6/10</f>
        <v>118.2962</v>
      </c>
      <c r="N6" s="292">
        <v>6387.47</v>
      </c>
      <c r="O6" s="292">
        <f>N6*D6/10</f>
        <v>134.13687</v>
      </c>
      <c r="P6" s="244">
        <v>6298.62</v>
      </c>
      <c r="Q6" s="292">
        <f>P6*E6/10-0.06</f>
        <v>129.06170999999998</v>
      </c>
      <c r="R6" s="313">
        <v>0.25</v>
      </c>
      <c r="S6" s="292">
        <v>6429.67</v>
      </c>
      <c r="T6" s="292">
        <f>S6*J6/10</f>
        <v>151.097245</v>
      </c>
      <c r="U6" s="292">
        <v>6177.21218</v>
      </c>
      <c r="V6" s="292">
        <f>U6*K6/10</f>
        <v>154.4303045</v>
      </c>
      <c r="W6" s="292">
        <f>3321.59214*2</f>
        <v>6643.18428</v>
      </c>
      <c r="X6" s="292">
        <f>(W6*K6/10)</f>
        <v>166.079607</v>
      </c>
      <c r="Y6" s="292">
        <v>6821</v>
      </c>
      <c r="Z6" s="292">
        <f>Y6*AA6/10</f>
        <v>170.525</v>
      </c>
      <c r="AA6" s="220">
        <v>0.25</v>
      </c>
    </row>
    <row r="7" spans="1:27" ht="19.5" customHeight="1">
      <c r="A7" s="220" t="s">
        <v>1076</v>
      </c>
      <c r="B7" s="291">
        <v>0.22</v>
      </c>
      <c r="C7" s="291">
        <v>0.22</v>
      </c>
      <c r="D7" s="291">
        <v>0.21</v>
      </c>
      <c r="E7" s="313">
        <v>0.205</v>
      </c>
      <c r="F7" s="291"/>
      <c r="G7" s="292"/>
      <c r="H7" s="292">
        <v>1832.200055</v>
      </c>
      <c r="I7" s="292">
        <f>H7*$B7/10</f>
        <v>40.30840121</v>
      </c>
      <c r="J7" s="313">
        <v>0.235</v>
      </c>
      <c r="K7" s="313">
        <v>0.25</v>
      </c>
      <c r="L7" s="292">
        <v>1975.17</v>
      </c>
      <c r="M7" s="292">
        <f>L7*$C7/10</f>
        <v>43.453739999999996</v>
      </c>
      <c r="N7" s="292">
        <v>2178.55</v>
      </c>
      <c r="O7" s="292">
        <f>N7*D7/10</f>
        <v>45.749550000000006</v>
      </c>
      <c r="P7" s="244">
        <v>2285.68</v>
      </c>
      <c r="Q7" s="292">
        <f>P7*E7/10</f>
        <v>46.85643999999999</v>
      </c>
      <c r="R7" s="313">
        <v>0.25</v>
      </c>
      <c r="S7" s="292">
        <v>2555.06</v>
      </c>
      <c r="T7" s="292">
        <f>S7*J7/10</f>
        <v>60.04391</v>
      </c>
      <c r="U7" s="292">
        <v>2823.95819</v>
      </c>
      <c r="V7" s="292">
        <f>U7*K7/10</f>
        <v>70.59895474999999</v>
      </c>
      <c r="W7" s="292">
        <f>1464.34125*2</f>
        <v>2928.6825</v>
      </c>
      <c r="X7" s="292">
        <f>(W7*K7/10)</f>
        <v>73.2170625</v>
      </c>
      <c r="Y7" s="292">
        <v>3350</v>
      </c>
      <c r="Z7" s="292">
        <f>Y7*AA7/10</f>
        <v>83.75</v>
      </c>
      <c r="AA7" s="220">
        <v>0.25</v>
      </c>
    </row>
    <row r="8" spans="6:65" ht="19.5" customHeight="1">
      <c r="F8" s="293"/>
      <c r="G8" s="293"/>
      <c r="H8" s="293">
        <f>SUM(H4:H7)</f>
        <v>15115.970464999999</v>
      </c>
      <c r="I8" s="293">
        <f>SUM(I4:I7)</f>
        <v>332.55135023</v>
      </c>
      <c r="L8" s="293">
        <f aca="true" t="shared" si="0" ref="L8:Q8">SUM(L4:L7)</f>
        <v>17210.56</v>
      </c>
      <c r="M8" s="293">
        <f t="shared" si="0"/>
        <v>378.63232</v>
      </c>
      <c r="N8" s="293">
        <f t="shared" si="0"/>
        <v>18790.13</v>
      </c>
      <c r="O8" s="293">
        <f t="shared" si="0"/>
        <v>394.59272999999996</v>
      </c>
      <c r="P8" s="244">
        <f>P4+P5+P6+P7</f>
        <v>19534.38</v>
      </c>
      <c r="Q8" s="293">
        <f t="shared" si="0"/>
        <v>400.39478999999994</v>
      </c>
      <c r="R8" s="313"/>
      <c r="S8" s="293">
        <f aca="true" t="shared" si="1" ref="S8:X8">SUM(S4:S7)</f>
        <v>21138.88</v>
      </c>
      <c r="T8" s="293">
        <f t="shared" si="1"/>
        <v>496.76367999999997</v>
      </c>
      <c r="U8" s="293">
        <f t="shared" si="1"/>
        <v>21257.427120000004</v>
      </c>
      <c r="V8" s="293">
        <f t="shared" si="1"/>
        <v>531.4356779999999</v>
      </c>
      <c r="W8" s="293">
        <f t="shared" si="1"/>
        <v>22424.913718</v>
      </c>
      <c r="X8" s="293">
        <f t="shared" si="1"/>
        <v>560.6228429500001</v>
      </c>
      <c r="Y8" s="293">
        <f>Y4+Y5+Y6+Y7</f>
        <v>25125</v>
      </c>
      <c r="Z8" s="292">
        <f>SUM(Z4:Z7)</f>
        <v>628.125</v>
      </c>
      <c r="AA8" s="293"/>
      <c r="AB8" s="293"/>
      <c r="AC8" s="293"/>
      <c r="AD8" s="293"/>
      <c r="AE8" s="293"/>
      <c r="AF8" s="293"/>
      <c r="AG8" s="293"/>
      <c r="AH8" s="293"/>
      <c r="AI8" s="293"/>
      <c r="AJ8" s="293"/>
      <c r="AK8" s="293"/>
      <c r="AL8" s="293"/>
      <c r="AM8" s="293"/>
      <c r="AN8" s="293"/>
      <c r="AO8" s="293"/>
      <c r="AP8" s="293"/>
      <c r="AQ8" s="293"/>
      <c r="AR8" s="293"/>
      <c r="AS8" s="293"/>
      <c r="AT8" s="293"/>
      <c r="AU8" s="293"/>
      <c r="AV8" s="293"/>
      <c r="AW8" s="293"/>
      <c r="AX8" s="293"/>
      <c r="AY8" s="293"/>
      <c r="AZ8" s="293"/>
      <c r="BA8" s="293"/>
      <c r="BB8" s="293"/>
      <c r="BC8" s="293"/>
      <c r="BD8" s="293"/>
      <c r="BE8" s="293"/>
      <c r="BF8" s="293"/>
      <c r="BG8" s="293"/>
      <c r="BH8" s="293"/>
      <c r="BI8" s="293"/>
      <c r="BJ8" s="293"/>
      <c r="BK8" s="293"/>
      <c r="BL8" s="293"/>
      <c r="BM8" s="293"/>
    </row>
    <row r="9" spans="1:27" ht="25.5" customHeight="1">
      <c r="A9" s="337" t="s">
        <v>417</v>
      </c>
      <c r="B9" s="291">
        <v>0.22</v>
      </c>
      <c r="C9" s="291">
        <v>0.22</v>
      </c>
      <c r="D9" s="291">
        <v>0.21</v>
      </c>
      <c r="E9" s="313">
        <v>0.205</v>
      </c>
      <c r="F9" s="291"/>
      <c r="G9" s="292"/>
      <c r="H9" s="292">
        <v>15.96</v>
      </c>
      <c r="I9" s="292">
        <f>H9*$B9/10</f>
        <v>0.35112</v>
      </c>
      <c r="J9" s="313">
        <v>0.235</v>
      </c>
      <c r="K9" s="313">
        <v>0.25</v>
      </c>
      <c r="L9" s="292">
        <v>87.45</v>
      </c>
      <c r="M9" s="292">
        <f>L9*$C9/10</f>
        <v>1.9239000000000002</v>
      </c>
      <c r="N9" s="292">
        <f>144.39+34.87</f>
        <v>179.26</v>
      </c>
      <c r="O9" s="292">
        <f>N9*D9/10</f>
        <v>3.7644599999999997</v>
      </c>
      <c r="P9" s="292">
        <v>274.9</v>
      </c>
      <c r="Q9" s="292">
        <f>P9*E9/10</f>
        <v>5.63545</v>
      </c>
      <c r="R9" s="313">
        <v>0.25</v>
      </c>
      <c r="S9" s="292">
        <v>341.68</v>
      </c>
      <c r="T9" s="292">
        <f>S9*J9/10</f>
        <v>8.02948</v>
      </c>
      <c r="U9" s="292">
        <f>13.20772+210.037914</f>
        <v>223.245634</v>
      </c>
      <c r="V9" s="292">
        <f>U9*K9/10</f>
        <v>5.58114085</v>
      </c>
      <c r="W9" s="292">
        <f>(0.118814+165.757278)*2</f>
        <v>331.752184</v>
      </c>
      <c r="X9" s="292">
        <f>W9*R9/10/6*12</f>
        <v>16.5876092</v>
      </c>
      <c r="Y9" s="292">
        <v>100</v>
      </c>
      <c r="Z9" s="292">
        <f>Y9*AA9/10</f>
        <v>2.5</v>
      </c>
      <c r="AA9" s="220">
        <v>0.25</v>
      </c>
    </row>
    <row r="10" spans="1:26" ht="19.5" customHeight="1">
      <c r="A10" s="220" t="s">
        <v>1105</v>
      </c>
      <c r="F10" s="293"/>
      <c r="G10" s="293"/>
      <c r="H10" s="293">
        <f>SUM(H8:H9)</f>
        <v>15131.930464999998</v>
      </c>
      <c r="I10" s="293">
        <f>SUM(I8:I9)</f>
        <v>332.90247023</v>
      </c>
      <c r="L10" s="293">
        <f>SUM(L8:L9)</f>
        <v>17298.010000000002</v>
      </c>
      <c r="M10" s="293">
        <f>SUM(M8:M9)</f>
        <v>380.55622</v>
      </c>
      <c r="N10" s="293">
        <f aca="true" t="shared" si="2" ref="N10:T10">SUM(N8:N9)</f>
        <v>18969.39</v>
      </c>
      <c r="O10" s="293">
        <f t="shared" si="2"/>
        <v>398.35718999999995</v>
      </c>
      <c r="P10" s="293">
        <f t="shared" si="2"/>
        <v>19809.280000000002</v>
      </c>
      <c r="Q10" s="293">
        <f t="shared" si="2"/>
        <v>406.03023999999994</v>
      </c>
      <c r="R10" s="313"/>
      <c r="S10" s="293">
        <f t="shared" si="2"/>
        <v>21480.56</v>
      </c>
      <c r="T10" s="293">
        <f t="shared" si="2"/>
        <v>504.79315999999994</v>
      </c>
      <c r="U10" s="293">
        <f aca="true" t="shared" si="3" ref="U10:Z10">SUM(U8:U9)</f>
        <v>21480.672754000003</v>
      </c>
      <c r="V10" s="293">
        <f t="shared" si="3"/>
        <v>537.0168188499999</v>
      </c>
      <c r="W10" s="293">
        <f t="shared" si="3"/>
        <v>22756.665902</v>
      </c>
      <c r="X10" s="293">
        <f t="shared" si="3"/>
        <v>577.21045215</v>
      </c>
      <c r="Y10" s="293">
        <f t="shared" si="3"/>
        <v>25225</v>
      </c>
      <c r="Z10" s="293">
        <f t="shared" si="3"/>
        <v>630.625</v>
      </c>
    </row>
    <row r="11" spans="1:27" ht="19.5" customHeight="1">
      <c r="A11" s="220" t="s">
        <v>93</v>
      </c>
      <c r="B11" s="291">
        <v>0.22</v>
      </c>
      <c r="C11" s="291">
        <v>0.22</v>
      </c>
      <c r="D11" s="291">
        <v>0.21</v>
      </c>
      <c r="E11" s="313">
        <v>0.205</v>
      </c>
      <c r="F11" s="291"/>
      <c r="G11" s="292"/>
      <c r="H11" s="292">
        <f>838-15.9-0.1</f>
        <v>822</v>
      </c>
      <c r="I11" s="292">
        <f>H11*$B11/10</f>
        <v>18.084</v>
      </c>
      <c r="J11" s="313">
        <v>0.235</v>
      </c>
      <c r="K11" s="313">
        <v>0.25</v>
      </c>
      <c r="L11" s="292">
        <f>850.44-87.45</f>
        <v>762.99</v>
      </c>
      <c r="M11" s="292">
        <f>L11*$C11/10</f>
        <v>16.78578</v>
      </c>
      <c r="N11" s="294">
        <v>355.27</v>
      </c>
      <c r="O11" s="292">
        <f>N11*D11/10</f>
        <v>7.460669999999999</v>
      </c>
      <c r="P11" s="294">
        <v>235.59</v>
      </c>
      <c r="Q11" s="292">
        <f>P11*E11/10</f>
        <v>4.829594999999999</v>
      </c>
      <c r="R11" s="313">
        <v>0.25</v>
      </c>
      <c r="S11" s="244">
        <v>305.67</v>
      </c>
      <c r="T11" s="292">
        <f>S11*J11/10</f>
        <v>7.183244999999999</v>
      </c>
      <c r="U11" s="244">
        <f>181.127072+175.35254</f>
        <v>356.479612</v>
      </c>
      <c r="V11" s="292">
        <f>U11*K11/10</f>
        <v>8.9119903</v>
      </c>
      <c r="W11" s="244">
        <f>(66.098171+77.470581)*2</f>
        <v>287.137504</v>
      </c>
      <c r="X11" s="292">
        <f>W11*R11/10/6*12</f>
        <v>14.3568752</v>
      </c>
      <c r="Y11" s="244">
        <v>312</v>
      </c>
      <c r="Z11" s="292">
        <f>Y11*AA11/10</f>
        <v>7.8</v>
      </c>
      <c r="AA11" s="220">
        <v>0.25</v>
      </c>
    </row>
    <row r="12" spans="1:26" ht="19.5" customHeight="1">
      <c r="A12" s="220" t="s">
        <v>1159</v>
      </c>
      <c r="B12" s="313">
        <v>0.175</v>
      </c>
      <c r="C12" s="313">
        <v>0.175</v>
      </c>
      <c r="D12" s="313">
        <v>0.175</v>
      </c>
      <c r="E12" s="313">
        <v>0.175</v>
      </c>
      <c r="F12" s="291"/>
      <c r="G12" s="292"/>
      <c r="H12" s="292">
        <f>(54115636+147705096+25318394+10994859+10994848)/10^6</f>
        <v>249.128833</v>
      </c>
      <c r="I12" s="292">
        <f>H12*$B12/10</f>
        <v>4.3597545774999995</v>
      </c>
      <c r="J12" s="313">
        <v>0.175</v>
      </c>
      <c r="K12" s="313">
        <v>0.175</v>
      </c>
      <c r="L12" s="292">
        <v>137.5</v>
      </c>
      <c r="M12" s="292">
        <f>L12*$C12/10</f>
        <v>2.40625</v>
      </c>
      <c r="N12" s="220">
        <v>33.74</v>
      </c>
      <c r="O12" s="292">
        <f>N12*D12/10+0.53+6.2</f>
        <v>7.32045</v>
      </c>
      <c r="P12" s="294">
        <v>622.49</v>
      </c>
      <c r="Q12" s="292">
        <f>P12*E12/10+10.3+6</f>
        <v>27.193575000000003</v>
      </c>
      <c r="R12" s="313"/>
      <c r="S12" s="292">
        <v>30</v>
      </c>
      <c r="T12" s="292">
        <f>19.61+13.82-4.6</f>
        <v>28.83</v>
      </c>
      <c r="U12" s="292">
        <v>450.178982</v>
      </c>
      <c r="V12" s="292">
        <v>7.8732</v>
      </c>
      <c r="W12" s="292">
        <v>0</v>
      </c>
      <c r="X12" s="292">
        <v>0</v>
      </c>
      <c r="Y12" s="292">
        <v>0</v>
      </c>
      <c r="Z12" s="292">
        <v>0</v>
      </c>
    </row>
    <row r="13" spans="1:26" ht="19.5" customHeight="1">
      <c r="A13" s="228" t="s">
        <v>1105</v>
      </c>
      <c r="B13" s="228"/>
      <c r="E13" s="293"/>
      <c r="F13" s="293"/>
      <c r="G13" s="293"/>
      <c r="H13" s="293">
        <f aca="true" t="shared" si="4" ref="H13:Q13">SUM(H10:H12)</f>
        <v>16203.059297999998</v>
      </c>
      <c r="I13" s="293">
        <f t="shared" si="4"/>
        <v>355.3462248075</v>
      </c>
      <c r="J13" s="293"/>
      <c r="K13" s="293"/>
      <c r="L13" s="293">
        <f t="shared" si="4"/>
        <v>18198.500000000004</v>
      </c>
      <c r="M13" s="293">
        <f t="shared" si="4"/>
        <v>399.74825</v>
      </c>
      <c r="N13" s="293">
        <f t="shared" si="4"/>
        <v>19358.4</v>
      </c>
      <c r="O13" s="293">
        <f t="shared" si="4"/>
        <v>413.13830999999993</v>
      </c>
      <c r="P13" s="293">
        <f t="shared" si="4"/>
        <v>20667.360000000004</v>
      </c>
      <c r="Q13" s="293">
        <f t="shared" si="4"/>
        <v>438.05340999999993</v>
      </c>
      <c r="R13" s="313"/>
      <c r="S13" s="262">
        <f aca="true" t="shared" si="5" ref="S13:X13">SUM(S10:S12)</f>
        <v>21816.23</v>
      </c>
      <c r="T13" s="262">
        <f t="shared" si="5"/>
        <v>540.8064049999999</v>
      </c>
      <c r="U13" s="262">
        <f>SUM(U10:U12)</f>
        <v>22287.331348000003</v>
      </c>
      <c r="V13" s="262">
        <f>SUM(V10:V12)</f>
        <v>553.8020091499999</v>
      </c>
      <c r="W13" s="262">
        <f t="shared" si="5"/>
        <v>23043.803406</v>
      </c>
      <c r="X13" s="262">
        <f t="shared" si="5"/>
        <v>591.56732735</v>
      </c>
      <c r="Y13" s="262">
        <f>SUM(Y10:Y12)</f>
        <v>25537</v>
      </c>
      <c r="Z13" s="262">
        <f>SUM(Z10:Z12)</f>
        <v>638.425</v>
      </c>
    </row>
    <row r="14" spans="1:26" ht="19.5" customHeight="1">
      <c r="A14" s="220" t="s">
        <v>126</v>
      </c>
      <c r="N14" s="220" t="s">
        <v>472</v>
      </c>
      <c r="O14" s="220">
        <v>36.84</v>
      </c>
      <c r="Q14" s="220">
        <v>136.62</v>
      </c>
      <c r="R14" s="313"/>
      <c r="T14" s="244">
        <v>25.5</v>
      </c>
      <c r="V14" s="244">
        <v>7.77</v>
      </c>
      <c r="X14" s="244">
        <f>X26</f>
        <v>12</v>
      </c>
      <c r="Z14" s="244">
        <f>X14</f>
        <v>12</v>
      </c>
    </row>
    <row r="15" spans="1:26" ht="19.5" customHeight="1">
      <c r="A15" s="220" t="s">
        <v>731</v>
      </c>
      <c r="N15" s="220" t="s">
        <v>472</v>
      </c>
      <c r="O15" s="220">
        <v>36.84</v>
      </c>
      <c r="Q15" s="220">
        <v>136.62</v>
      </c>
      <c r="R15" s="313"/>
      <c r="T15" s="244">
        <v>25.5</v>
      </c>
      <c r="V15" s="244">
        <v>8.97</v>
      </c>
      <c r="X15" s="244">
        <v>0</v>
      </c>
      <c r="Z15" s="244">
        <v>0</v>
      </c>
    </row>
    <row r="16" spans="1:26" ht="19.5" customHeight="1">
      <c r="A16" s="220" t="s">
        <v>1337</v>
      </c>
      <c r="D16" s="244">
        <f>E16*0.0175</f>
        <v>0</v>
      </c>
      <c r="E16" s="244">
        <f>S16*2</f>
        <v>0</v>
      </c>
      <c r="H16" s="244">
        <f>H13-H12</f>
        <v>15953.930464999998</v>
      </c>
      <c r="I16" s="220">
        <v>355.34</v>
      </c>
      <c r="J16" s="244"/>
      <c r="K16" s="244"/>
      <c r="L16" s="244"/>
      <c r="M16" s="220">
        <v>399.75</v>
      </c>
      <c r="O16" s="244">
        <f>O13+O14</f>
        <v>449.97830999999996</v>
      </c>
      <c r="Q16" s="244">
        <f>Q13+Q14</f>
        <v>574.6734099999999</v>
      </c>
      <c r="R16" s="313"/>
      <c r="S16" s="244"/>
      <c r="T16" s="244">
        <f>T13+T14</f>
        <v>566.3064049999999</v>
      </c>
      <c r="U16" s="244"/>
      <c r="V16" s="244">
        <f>V13+V14+V15</f>
        <v>570.5420091499999</v>
      </c>
      <c r="W16" s="244"/>
      <c r="X16" s="244">
        <f>X13+X14</f>
        <v>603.56732735</v>
      </c>
      <c r="Y16" s="244"/>
      <c r="Z16" s="244">
        <f>Z13+Z14</f>
        <v>650.425</v>
      </c>
    </row>
    <row r="17" spans="1:20" ht="19.5" customHeight="1">
      <c r="A17" s="220" t="s">
        <v>16</v>
      </c>
      <c r="D17" s="327">
        <f>E17*0.0205</f>
        <v>0</v>
      </c>
      <c r="I17" s="244">
        <f>I16-I13</f>
        <v>-0.006224807500018414</v>
      </c>
      <c r="J17" s="220">
        <f>V17*2</f>
        <v>0</v>
      </c>
      <c r="K17" s="220">
        <f>W17*2</f>
        <v>0</v>
      </c>
      <c r="M17" s="244">
        <f>M16-M13</f>
        <v>0.0017500000000154614</v>
      </c>
      <c r="O17" s="244">
        <v>265.78</v>
      </c>
      <c r="Q17" s="244">
        <f>-132.89</f>
        <v>-132.89</v>
      </c>
      <c r="R17" s="313"/>
      <c r="T17" s="244">
        <f>-132.89</f>
        <v>-132.89</v>
      </c>
    </row>
    <row r="18" spans="9:22" ht="19.5" customHeight="1">
      <c r="I18" s="220">
        <f>355.34-349.78</f>
        <v>5.560000000000002</v>
      </c>
      <c r="J18" s="220" t="s">
        <v>1173</v>
      </c>
      <c r="K18" s="220" t="s">
        <v>1173</v>
      </c>
      <c r="N18" s="228"/>
      <c r="O18" s="244">
        <f>O16+O17</f>
        <v>715.7583099999999</v>
      </c>
      <c r="Q18" s="244">
        <f>Q16+Q17</f>
        <v>441.7834099999999</v>
      </c>
      <c r="R18" s="244"/>
      <c r="T18" s="244">
        <f>T16+T17</f>
        <v>433.41640499999994</v>
      </c>
      <c r="V18" s="220" t="s">
        <v>1122</v>
      </c>
    </row>
    <row r="19" spans="1:26" ht="19.5" customHeight="1">
      <c r="A19" s="220" t="s">
        <v>766</v>
      </c>
      <c r="C19" s="244">
        <f>L9+L11</f>
        <v>850.44</v>
      </c>
      <c r="D19" s="244"/>
      <c r="H19" s="220">
        <v>586.26</v>
      </c>
      <c r="I19" s="220">
        <v>0.37</v>
      </c>
      <c r="L19" s="244"/>
      <c r="N19" s="220">
        <f>144.39+355.27</f>
        <v>499.65999999999997</v>
      </c>
      <c r="O19" s="244">
        <f>O13+O17</f>
        <v>678.9183099999999</v>
      </c>
      <c r="P19" s="244"/>
      <c r="X19" s="244">
        <f>X13*2%</f>
        <v>11.831346547</v>
      </c>
      <c r="Z19" s="244">
        <f>Z13*2%</f>
        <v>12.7685</v>
      </c>
    </row>
    <row r="20" spans="8:9" ht="19.5" customHeight="1">
      <c r="H20" s="220">
        <v>269.54</v>
      </c>
      <c r="I20" s="220">
        <f>I18+I19</f>
        <v>5.930000000000002</v>
      </c>
    </row>
    <row r="21" spans="3:24" ht="19.5" customHeight="1">
      <c r="C21" s="244">
        <f>15953*0.22</f>
        <v>3509.66</v>
      </c>
      <c r="D21" s="244"/>
      <c r="H21" s="220">
        <f>H19+H20</f>
        <v>855.8</v>
      </c>
      <c r="L21" s="220">
        <f>5.89/0.22*10</f>
        <v>267.7272727272727</v>
      </c>
      <c r="M21" s="220">
        <v>5.89</v>
      </c>
      <c r="U21" s="220" t="s">
        <v>761</v>
      </c>
      <c r="X21" s="220" t="s">
        <v>762</v>
      </c>
    </row>
    <row r="22" spans="1:24" ht="19.5" customHeight="1">
      <c r="A22" s="220" t="s">
        <v>760</v>
      </c>
      <c r="L22" s="220">
        <f>2.41/0.18*10</f>
        <v>133.8888888888889</v>
      </c>
      <c r="M22" s="220">
        <v>2.41</v>
      </c>
      <c r="U22" s="220">
        <v>0.3069</v>
      </c>
      <c r="X22" s="220">
        <f>U22*2</f>
        <v>0.6138</v>
      </c>
    </row>
    <row r="23" spans="1:24" ht="19.5" customHeight="1">
      <c r="A23" s="220" t="s">
        <v>763</v>
      </c>
      <c r="L23" s="220">
        <f>5.93/0.22*10</f>
        <v>269.5454545454545</v>
      </c>
      <c r="M23" s="220">
        <v>5.93</v>
      </c>
      <c r="U23" s="220">
        <v>0.5292</v>
      </c>
      <c r="X23" s="220">
        <f>U23*2</f>
        <v>1.0584</v>
      </c>
    </row>
    <row r="24" spans="1:24" ht="19.5" customHeight="1">
      <c r="A24" s="220" t="s">
        <v>764</v>
      </c>
      <c r="U24" s="220">
        <v>2.6683</v>
      </c>
      <c r="X24" s="220">
        <f>U24*2</f>
        <v>5.3366</v>
      </c>
    </row>
    <row r="25" spans="1:24" ht="19.5" customHeight="1">
      <c r="A25" s="220" t="s">
        <v>765</v>
      </c>
      <c r="U25" s="220">
        <f>2.54</f>
        <v>2.54</v>
      </c>
      <c r="X25" s="220">
        <f>U25*2</f>
        <v>5.08</v>
      </c>
    </row>
    <row r="26" ht="19.5" customHeight="1">
      <c r="X26" s="220">
        <f>ROUND(SUM(X22:X25),0)</f>
        <v>12</v>
      </c>
    </row>
  </sheetData>
  <sheetProtection/>
  <mergeCells count="18">
    <mergeCell ref="E1:F1"/>
    <mergeCell ref="E2:F2"/>
    <mergeCell ref="U1:V1"/>
    <mergeCell ref="U2:V2"/>
    <mergeCell ref="L1:M1"/>
    <mergeCell ref="L2:M2"/>
    <mergeCell ref="P1:Q1"/>
    <mergeCell ref="S1:T1"/>
    <mergeCell ref="S2:T2"/>
    <mergeCell ref="N1:O1"/>
    <mergeCell ref="H1:I1"/>
    <mergeCell ref="H2:I2"/>
    <mergeCell ref="N2:O2"/>
    <mergeCell ref="P2:Q2"/>
    <mergeCell ref="Y1:Z1"/>
    <mergeCell ref="Y2:Z2"/>
    <mergeCell ref="W1:X1"/>
    <mergeCell ref="W2:X2"/>
  </mergeCells>
  <printOptions gridLines="1" horizontalCentered="1"/>
  <pageMargins left="0.27" right="0.17" top="1" bottom="1" header="0.5" footer="0.5"/>
  <pageSetup horizontalDpi="300" verticalDpi="300" orientation="portrait" scale="89" r:id="rId1"/>
  <headerFooter alignWithMargins="0">
    <oddFooter>&amp;L&amp;F&amp;A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3" width="10.8515625" style="45" customWidth="1"/>
    <col min="14" max="16384" width="9.140625" style="45" customWidth="1"/>
  </cols>
  <sheetData>
    <row r="1" spans="1:12" ht="12.75">
      <c r="A1" s="9" t="s">
        <v>1398</v>
      </c>
      <c r="K1" s="84"/>
      <c r="L1" s="85"/>
    </row>
    <row r="3" spans="1:13" ht="12.75">
      <c r="A3" s="93" t="s">
        <v>1152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</row>
    <row r="4" spans="1:13" ht="12.75">
      <c r="A4" s="93"/>
      <c r="B4" s="89" t="s">
        <v>1350</v>
      </c>
      <c r="C4" s="93"/>
      <c r="D4" s="93"/>
      <c r="E4" s="93"/>
      <c r="F4" s="93"/>
      <c r="G4" s="93"/>
      <c r="H4" s="93"/>
      <c r="I4" s="93"/>
      <c r="J4" s="93"/>
      <c r="K4" s="85" t="s">
        <v>1188</v>
      </c>
      <c r="L4" s="93"/>
      <c r="M4" s="93"/>
    </row>
    <row r="5" spans="1:13" ht="12.75">
      <c r="A5" s="93"/>
      <c r="B5" s="89" t="s">
        <v>1351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</row>
    <row r="6" spans="1:13" ht="12.75">
      <c r="A6" s="93"/>
      <c r="B6" s="89" t="s">
        <v>1394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</row>
    <row r="8" spans="2:4" ht="12.75">
      <c r="B8" s="103"/>
      <c r="C8" s="45">
        <v>1</v>
      </c>
      <c r="D8" s="104" t="s">
        <v>265</v>
      </c>
    </row>
    <row r="9" spans="2:4" ht="12.75">
      <c r="B9" s="105"/>
      <c r="C9" s="45">
        <v>2</v>
      </c>
      <c r="D9" s="104" t="s">
        <v>1035</v>
      </c>
    </row>
    <row r="10" spans="2:4" ht="12.75">
      <c r="B10" s="105"/>
      <c r="C10" s="45">
        <v>3</v>
      </c>
      <c r="D10" s="104" t="s">
        <v>937</v>
      </c>
    </row>
    <row r="11" ht="12.75">
      <c r="D11" s="104"/>
    </row>
    <row r="13" spans="1:14" s="110" customFormat="1" ht="38.25">
      <c r="A13" s="106" t="s">
        <v>1153</v>
      </c>
      <c r="B13" s="106" t="s">
        <v>1154</v>
      </c>
      <c r="C13" s="99" t="s">
        <v>1155</v>
      </c>
      <c r="D13" s="106"/>
      <c r="E13" s="106"/>
      <c r="F13" s="106"/>
      <c r="G13" s="106"/>
      <c r="H13" s="106" t="s">
        <v>503</v>
      </c>
      <c r="I13" s="106" t="s">
        <v>1156</v>
      </c>
      <c r="J13" s="106" t="s">
        <v>1157</v>
      </c>
      <c r="K13" s="106" t="s">
        <v>505</v>
      </c>
      <c r="L13" s="106" t="s">
        <v>1105</v>
      </c>
      <c r="M13" s="106" t="s">
        <v>1158</v>
      </c>
      <c r="N13" s="109"/>
    </row>
    <row r="14" spans="1:13" s="110" customFormat="1" ht="12.75">
      <c r="A14" s="99"/>
      <c r="B14" s="99"/>
      <c r="C14" s="99" t="s">
        <v>512</v>
      </c>
      <c r="D14" s="99" t="s">
        <v>513</v>
      </c>
      <c r="E14" s="99" t="s">
        <v>514</v>
      </c>
      <c r="F14" s="99" t="s">
        <v>470</v>
      </c>
      <c r="G14" s="99" t="s">
        <v>1105</v>
      </c>
      <c r="H14" s="99"/>
      <c r="I14" s="99"/>
      <c r="J14" s="99"/>
      <c r="K14" s="99"/>
      <c r="L14" s="99"/>
      <c r="M14" s="99"/>
    </row>
    <row r="15" spans="1:13" ht="12.75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</row>
    <row r="16" spans="1:13" ht="12.75">
      <c r="A16" s="77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</row>
    <row r="17" spans="1:13" ht="12.75">
      <c r="A17" s="77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</row>
    <row r="18" spans="1:13" ht="12.75">
      <c r="A18" s="77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</row>
    <row r="19" spans="1:13" ht="12.75">
      <c r="A19" s="77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</row>
    <row r="20" spans="1:13" ht="12.75">
      <c r="A20" s="77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</row>
    <row r="21" spans="1:13" ht="12.75">
      <c r="A21" s="77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</row>
    <row r="24" ht="12.75">
      <c r="A24" s="45" t="s">
        <v>1163</v>
      </c>
    </row>
    <row r="25" ht="12.75">
      <c r="A25" s="45" t="s">
        <v>1219</v>
      </c>
    </row>
  </sheetData>
  <sheetProtection/>
  <printOptions horizontalCentered="1"/>
  <pageMargins left="0.25" right="0.36" top="1" bottom="1" header="0.5" footer="0.5"/>
  <pageSetup fitToHeight="1" fitToWidth="1" horizontalDpi="600" verticalDpi="600" orientation="landscape" paperSize="9" r:id="rId1"/>
  <headerFooter alignWithMargins="0">
    <oddFooter>&amp;L&amp;F-&amp;A&amp;CPage-&amp;P of &amp;P&amp;R&amp;D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27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15.421875" style="45" customWidth="1"/>
    <col min="2" max="12" width="9.8515625" style="45" customWidth="1"/>
    <col min="13" max="16384" width="9.140625" style="45" customWidth="1"/>
  </cols>
  <sheetData>
    <row r="3" spans="1:9" ht="12.75">
      <c r="A3" s="9" t="s">
        <v>1398</v>
      </c>
      <c r="I3" s="84"/>
    </row>
    <row r="5" ht="12.75">
      <c r="A5" s="102" t="s">
        <v>506</v>
      </c>
    </row>
    <row r="6" ht="12.75">
      <c r="A6" s="1"/>
    </row>
    <row r="7" spans="2:10" ht="12.75">
      <c r="B7" s="89" t="s">
        <v>1350</v>
      </c>
      <c r="J7" s="85" t="s">
        <v>1187</v>
      </c>
    </row>
    <row r="8" spans="1:2" ht="12.75">
      <c r="A8" s="1"/>
      <c r="B8" s="89" t="s">
        <v>1351</v>
      </c>
    </row>
    <row r="9" ht="12.75">
      <c r="B9" s="89" t="s">
        <v>1394</v>
      </c>
    </row>
    <row r="11" spans="2:4" ht="12.75">
      <c r="B11" s="103" t="s">
        <v>264</v>
      </c>
      <c r="C11" s="45">
        <v>1</v>
      </c>
      <c r="D11" s="104" t="s">
        <v>265</v>
      </c>
    </row>
    <row r="12" spans="2:4" ht="12.75">
      <c r="B12" s="105"/>
      <c r="C12" s="45">
        <v>2</v>
      </c>
      <c r="D12" s="104" t="s">
        <v>1035</v>
      </c>
    </row>
    <row r="13" spans="2:11" ht="12.75">
      <c r="B13" s="105"/>
      <c r="C13" s="45">
        <v>3</v>
      </c>
      <c r="D13" s="104" t="s">
        <v>937</v>
      </c>
      <c r="K13" s="1" t="s">
        <v>1124</v>
      </c>
    </row>
    <row r="15" spans="1:12" ht="38.25">
      <c r="A15" s="106" t="s">
        <v>507</v>
      </c>
      <c r="B15" s="106" t="s">
        <v>508</v>
      </c>
      <c r="C15" s="99" t="s">
        <v>509</v>
      </c>
      <c r="D15" s="99"/>
      <c r="E15" s="99"/>
      <c r="F15" s="99"/>
      <c r="G15" s="99"/>
      <c r="H15" s="106" t="s">
        <v>490</v>
      </c>
      <c r="I15" s="106" t="s">
        <v>491</v>
      </c>
      <c r="J15" s="106" t="s">
        <v>510</v>
      </c>
      <c r="K15" s="106" t="s">
        <v>511</v>
      </c>
      <c r="L15" s="106" t="s">
        <v>1137</v>
      </c>
    </row>
    <row r="16" spans="1:12" ht="12.75">
      <c r="A16" s="99"/>
      <c r="B16" s="99"/>
      <c r="C16" s="99" t="s">
        <v>512</v>
      </c>
      <c r="D16" s="99" t="s">
        <v>513</v>
      </c>
      <c r="E16" s="99" t="s">
        <v>514</v>
      </c>
      <c r="F16" s="99" t="s">
        <v>470</v>
      </c>
      <c r="G16" s="99" t="s">
        <v>1105</v>
      </c>
      <c r="H16" s="99"/>
      <c r="I16" s="99"/>
      <c r="J16" s="99"/>
      <c r="K16" s="99"/>
      <c r="L16" s="99"/>
    </row>
    <row r="17" spans="1:12" ht="12.75">
      <c r="A17" s="77" t="s">
        <v>1122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</row>
    <row r="18" spans="1:12" ht="12.75">
      <c r="A18" s="77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</row>
    <row r="19" spans="1:12" ht="12.75">
      <c r="A19" s="77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</row>
    <row r="20" spans="1:12" ht="12.75">
      <c r="A20" s="77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</row>
    <row r="21" spans="1:12" ht="12.75">
      <c r="A21" s="77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</row>
    <row r="22" spans="1:12" ht="12.75">
      <c r="A22" s="77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</row>
    <row r="23" spans="1:12" ht="12.75">
      <c r="A23" s="77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</row>
    <row r="24" spans="1:12" ht="12.75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</row>
    <row r="26" ht="12.75">
      <c r="A26" s="45" t="s">
        <v>1151</v>
      </c>
    </row>
    <row r="27" ht="12.75">
      <c r="A27" s="45" t="s">
        <v>489</v>
      </c>
    </row>
  </sheetData>
  <sheetProtection/>
  <printOptions horizontalCentered="1"/>
  <pageMargins left="0.31" right="0.29" top="1" bottom="1" header="0.5" footer="0.5"/>
  <pageSetup fitToHeight="1" fitToWidth="1" horizontalDpi="600" verticalDpi="600" orientation="landscape" paperSize="9" r:id="rId1"/>
  <headerFooter alignWithMargins="0">
    <oddFooter>&amp;L&amp;F-&amp;A&amp;CPage-&amp;P of &amp;P&amp;R&amp;D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25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22.57421875" style="45" customWidth="1"/>
    <col min="2" max="2" width="21.8515625" style="45" customWidth="1"/>
    <col min="3" max="6" width="22.57421875" style="45" customWidth="1"/>
    <col min="7" max="16384" width="9.140625" style="45" customWidth="1"/>
  </cols>
  <sheetData>
    <row r="3" spans="1:6" ht="12.75">
      <c r="A3" s="9" t="s">
        <v>157</v>
      </c>
      <c r="E3" s="84"/>
      <c r="F3" s="85"/>
    </row>
    <row r="5" spans="1:6" ht="12.75">
      <c r="A5" s="93" t="s">
        <v>1164</v>
      </c>
      <c r="B5" s="93"/>
      <c r="C5" s="93"/>
      <c r="D5" s="93"/>
      <c r="E5" s="93"/>
      <c r="F5" s="93"/>
    </row>
    <row r="7" spans="2:6" ht="12.75">
      <c r="B7" s="89" t="s">
        <v>1350</v>
      </c>
      <c r="F7" s="85" t="s">
        <v>1190</v>
      </c>
    </row>
    <row r="8" ht="12.75">
      <c r="B8" s="89" t="s">
        <v>1351</v>
      </c>
    </row>
    <row r="9" ht="12.75">
      <c r="B9" s="89" t="s">
        <v>1394</v>
      </c>
    </row>
    <row r="10" ht="12.75">
      <c r="B10" s="69"/>
    </row>
    <row r="11" spans="2:3" ht="12.75">
      <c r="B11" s="45">
        <v>1</v>
      </c>
      <c r="C11" s="104" t="s">
        <v>265</v>
      </c>
    </row>
    <row r="12" spans="2:3" ht="12.75">
      <c r="B12" s="45">
        <v>2</v>
      </c>
      <c r="C12" s="104" t="s">
        <v>1035</v>
      </c>
    </row>
    <row r="13" spans="2:3" ht="12.75">
      <c r="B13" s="45">
        <v>3</v>
      </c>
      <c r="C13" s="104" t="s">
        <v>937</v>
      </c>
    </row>
    <row r="14" ht="12.75">
      <c r="D14" s="104"/>
    </row>
    <row r="15" spans="1:6" ht="12.75">
      <c r="A15" s="45" t="s">
        <v>1165</v>
      </c>
      <c r="F15" s="1" t="s">
        <v>1124</v>
      </c>
    </row>
    <row r="16" ht="12.75">
      <c r="F16" s="1"/>
    </row>
    <row r="17" spans="1:9" s="110" customFormat="1" ht="38.25">
      <c r="A17" s="111" t="s">
        <v>1166</v>
      </c>
      <c r="B17" s="111" t="s">
        <v>1167</v>
      </c>
      <c r="C17" s="111" t="s">
        <v>1189</v>
      </c>
      <c r="D17" s="111" t="s">
        <v>1168</v>
      </c>
      <c r="E17" s="111" t="s">
        <v>1170</v>
      </c>
      <c r="F17" s="111" t="s">
        <v>1171</v>
      </c>
      <c r="G17" s="109"/>
      <c r="H17" s="109"/>
      <c r="I17" s="109"/>
    </row>
    <row r="18" spans="1:6" ht="12.75">
      <c r="A18" s="2"/>
      <c r="B18" s="2"/>
      <c r="C18" s="2"/>
      <c r="D18" s="2"/>
      <c r="E18" s="2"/>
      <c r="F18" s="2"/>
    </row>
    <row r="19" spans="1:6" ht="12.75">
      <c r="A19" s="2"/>
      <c r="B19" s="2"/>
      <c r="C19" s="2"/>
      <c r="D19" s="2"/>
      <c r="E19" s="2"/>
      <c r="F19" s="2"/>
    </row>
    <row r="20" spans="1:6" ht="12.75">
      <c r="A20" s="2"/>
      <c r="B20" s="2"/>
      <c r="C20" s="2"/>
      <c r="D20" s="2"/>
      <c r="E20" s="2"/>
      <c r="F20" s="2"/>
    </row>
    <row r="21" spans="1:6" ht="12.75">
      <c r="A21" s="2"/>
      <c r="B21" s="2"/>
      <c r="C21" s="2"/>
      <c r="D21" s="2"/>
      <c r="E21" s="2"/>
      <c r="F21" s="2"/>
    </row>
    <row r="22" spans="1:6" ht="12.75">
      <c r="A22" s="2"/>
      <c r="B22" s="108" t="s">
        <v>1220</v>
      </c>
      <c r="C22" s="108" t="s">
        <v>1220</v>
      </c>
      <c r="D22" s="108" t="s">
        <v>1220</v>
      </c>
      <c r="E22" s="108" t="s">
        <v>1220</v>
      </c>
      <c r="F22" s="108" t="s">
        <v>1220</v>
      </c>
    </row>
    <row r="23" spans="1:6" ht="12.75">
      <c r="A23" s="2"/>
      <c r="B23" s="2"/>
      <c r="C23" s="2"/>
      <c r="D23" s="2"/>
      <c r="E23" s="2"/>
      <c r="F23" s="2"/>
    </row>
    <row r="24" spans="1:6" ht="12.75">
      <c r="A24" s="2"/>
      <c r="B24" s="2"/>
      <c r="C24" s="2"/>
      <c r="D24" s="2"/>
      <c r="E24" s="2"/>
      <c r="F24" s="2"/>
    </row>
    <row r="25" spans="1:6" ht="12.75">
      <c r="A25" s="2"/>
      <c r="B25" s="2"/>
      <c r="C25" s="2"/>
      <c r="D25" s="2"/>
      <c r="E25" s="2"/>
      <c r="F25" s="2"/>
    </row>
  </sheetData>
  <sheetProtection/>
  <printOptions horizontalCentered="1"/>
  <pageMargins left="0.22" right="0.29" top="1" bottom="1" header="0.5" footer="0.5"/>
  <pageSetup fitToHeight="1" fitToWidth="1" horizontalDpi="600" verticalDpi="600" orientation="landscape" paperSize="9" r:id="rId1"/>
  <headerFooter alignWithMargins="0">
    <oddFooter>&amp;L&amp;F-&amp;A&amp;CPage-&amp;P of &amp;P&amp;R&amp;D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3:F27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25.00390625" style="45" customWidth="1"/>
    <col min="2" max="2" width="20.421875" style="45" customWidth="1"/>
    <col min="3" max="6" width="19.421875" style="45" customWidth="1"/>
    <col min="7" max="16384" width="9.140625" style="45" customWidth="1"/>
  </cols>
  <sheetData>
    <row r="3" spans="1:5" ht="12.75">
      <c r="A3" s="9" t="s">
        <v>540</v>
      </c>
      <c r="D3" s="84"/>
      <c r="E3" s="85"/>
    </row>
    <row r="5" spans="1:6" ht="12.75">
      <c r="A5" s="93" t="s">
        <v>1172</v>
      </c>
      <c r="B5" s="94"/>
      <c r="C5" s="94"/>
      <c r="D5" s="94"/>
      <c r="E5" s="94"/>
      <c r="F5" s="94"/>
    </row>
    <row r="6" spans="1:6" ht="12.75">
      <c r="A6" s="93" t="s">
        <v>596</v>
      </c>
      <c r="B6" s="94"/>
      <c r="C6" s="94"/>
      <c r="D6" s="94"/>
      <c r="E6" s="94"/>
      <c r="F6" s="94"/>
    </row>
    <row r="7" spans="1:6" ht="12.75">
      <c r="A7" s="93"/>
      <c r="B7" s="94"/>
      <c r="C7" s="94"/>
      <c r="D7" s="94"/>
      <c r="E7" s="94"/>
      <c r="F7" s="94"/>
    </row>
    <row r="8" spans="2:6" ht="12.75">
      <c r="B8" s="105" t="s">
        <v>1309</v>
      </c>
      <c r="C8" s="94"/>
      <c r="D8" s="94"/>
      <c r="E8" s="85" t="s">
        <v>1191</v>
      </c>
      <c r="F8" s="94"/>
    </row>
    <row r="9" spans="2:6" ht="12.75">
      <c r="B9" s="105" t="s">
        <v>1310</v>
      </c>
      <c r="C9" s="94"/>
      <c r="D9" s="94"/>
      <c r="E9" s="94"/>
      <c r="F9" s="94"/>
    </row>
    <row r="10" spans="2:6" ht="12.75">
      <c r="B10" s="105" t="s">
        <v>1311</v>
      </c>
      <c r="C10" s="94"/>
      <c r="D10" s="94"/>
      <c r="E10" s="94"/>
      <c r="F10" s="1" t="s">
        <v>1124</v>
      </c>
    </row>
    <row r="11" spans="1:6" ht="12.75">
      <c r="A11" s="93"/>
      <c r="B11" s="94"/>
      <c r="C11" s="94"/>
      <c r="D11" s="94"/>
      <c r="E11" s="94"/>
      <c r="F11" s="94"/>
    </row>
    <row r="12" spans="1:6" ht="12.75">
      <c r="A12" s="93"/>
      <c r="B12" s="112" t="s">
        <v>941</v>
      </c>
      <c r="C12" s="94"/>
      <c r="D12" s="94"/>
      <c r="E12" s="94"/>
      <c r="F12" s="94"/>
    </row>
    <row r="14" spans="1:6" s="110" customFormat="1" ht="63.75">
      <c r="A14" s="106" t="s">
        <v>1174</v>
      </c>
      <c r="B14" s="106" t="s">
        <v>1130</v>
      </c>
      <c r="C14" s="106" t="s">
        <v>1175</v>
      </c>
      <c r="D14" s="106" t="s">
        <v>546</v>
      </c>
      <c r="E14" s="106" t="s">
        <v>1136</v>
      </c>
      <c r="F14" s="106" t="s">
        <v>1137</v>
      </c>
    </row>
    <row r="15" spans="1:6" s="110" customFormat="1" ht="12.75">
      <c r="A15" s="106">
        <v>1</v>
      </c>
      <c r="B15" s="106">
        <v>2</v>
      </c>
      <c r="C15" s="106">
        <v>3</v>
      </c>
      <c r="D15" s="106">
        <v>4</v>
      </c>
      <c r="E15" s="106">
        <v>5</v>
      </c>
      <c r="F15" s="106">
        <v>6</v>
      </c>
    </row>
    <row r="16" spans="1:6" ht="12.75">
      <c r="A16" s="77"/>
      <c r="B16" s="77"/>
      <c r="C16" s="77"/>
      <c r="D16" s="77"/>
      <c r="E16" s="77"/>
      <c r="F16" s="77"/>
    </row>
    <row r="17" spans="1:6" ht="12.75">
      <c r="A17" s="77"/>
      <c r="B17" s="77"/>
      <c r="C17" s="77"/>
      <c r="D17" s="77"/>
      <c r="E17" s="77"/>
      <c r="F17" s="77"/>
    </row>
    <row r="18" spans="1:6" ht="12.75">
      <c r="A18" s="77"/>
      <c r="B18" s="77"/>
      <c r="C18" s="77"/>
      <c r="D18" s="77"/>
      <c r="E18" s="77"/>
      <c r="F18" s="77"/>
    </row>
    <row r="19" spans="1:6" ht="12.75">
      <c r="A19" s="77"/>
      <c r="B19" s="77"/>
      <c r="C19" s="77"/>
      <c r="D19" s="77"/>
      <c r="E19" s="77"/>
      <c r="F19" s="77"/>
    </row>
    <row r="20" spans="1:6" ht="12.75">
      <c r="A20" s="77"/>
      <c r="B20" s="77"/>
      <c r="C20" s="77"/>
      <c r="D20" s="77"/>
      <c r="E20" s="77"/>
      <c r="F20" s="77"/>
    </row>
    <row r="21" spans="1:6" ht="12.75">
      <c r="A21" s="77"/>
      <c r="B21" s="77"/>
      <c r="C21" s="77"/>
      <c r="D21" s="77"/>
      <c r="E21" s="77"/>
      <c r="F21" s="77"/>
    </row>
    <row r="23" ht="12.75">
      <c r="A23" s="45" t="s">
        <v>1236</v>
      </c>
    </row>
    <row r="27" ht="12.75">
      <c r="A27" s="45" t="s">
        <v>1122</v>
      </c>
    </row>
  </sheetData>
  <sheetProtection/>
  <printOptions horizontalCentered="1"/>
  <pageMargins left="0.75" right="0.75" top="1" bottom="1" header="0.5" footer="0.5"/>
  <pageSetup horizontalDpi="600" verticalDpi="600" orientation="landscape" paperSize="9" scale="106" r:id="rId1"/>
  <headerFooter alignWithMargins="0">
    <oddFooter>&amp;L&amp;F-&amp;A&amp;CPage-&amp;P of &amp;P&amp;R&amp;D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B6" sqref="B6:B8"/>
    </sheetView>
  </sheetViews>
  <sheetFormatPr defaultColWidth="9.140625" defaultRowHeight="12.75"/>
  <cols>
    <col min="1" max="1" width="19.57421875" style="45" customWidth="1"/>
    <col min="2" max="2" width="20.28125" style="45" customWidth="1"/>
    <col min="3" max="6" width="19.57421875" style="45" customWidth="1"/>
    <col min="7" max="16384" width="9.140625" style="45" customWidth="1"/>
  </cols>
  <sheetData>
    <row r="1" spans="1:5" ht="12.75">
      <c r="A1" s="9" t="s">
        <v>1398</v>
      </c>
      <c r="D1" s="84"/>
      <c r="E1" s="85"/>
    </row>
    <row r="2" spans="1:5" ht="12.75">
      <c r="A2" s="9"/>
      <c r="D2" s="84"/>
      <c r="E2" s="85"/>
    </row>
    <row r="3" spans="1:6" ht="12.75">
      <c r="A3" s="93" t="s">
        <v>548</v>
      </c>
      <c r="B3" s="93"/>
      <c r="C3" s="93"/>
      <c r="D3" s="93"/>
      <c r="E3" s="93"/>
      <c r="F3" s="93"/>
    </row>
    <row r="4" spans="1:6" ht="12.75">
      <c r="A4" s="93" t="s">
        <v>555</v>
      </c>
      <c r="B4" s="94"/>
      <c r="C4" s="94"/>
      <c r="D4" s="94"/>
      <c r="E4" s="94"/>
      <c r="F4" s="94"/>
    </row>
    <row r="5" spans="1:6" ht="12.75">
      <c r="A5" s="93"/>
      <c r="B5" s="94"/>
      <c r="C5" s="94"/>
      <c r="D5" s="94"/>
      <c r="E5" s="94"/>
      <c r="F5" s="94"/>
    </row>
    <row r="6" spans="2:6" ht="12.75">
      <c r="B6" s="89" t="s">
        <v>1350</v>
      </c>
      <c r="C6" s="94"/>
      <c r="D6" s="94"/>
      <c r="E6" s="85" t="s">
        <v>1192</v>
      </c>
      <c r="F6" s="94"/>
    </row>
    <row r="7" spans="2:6" ht="12.75">
      <c r="B7" s="89" t="s">
        <v>1351</v>
      </c>
      <c r="C7" s="94"/>
      <c r="D7" s="94"/>
      <c r="E7" s="94"/>
      <c r="F7" s="94"/>
    </row>
    <row r="8" spans="2:6" ht="12.75">
      <c r="B8" s="89" t="s">
        <v>1394</v>
      </c>
      <c r="C8" s="94"/>
      <c r="D8" s="94"/>
      <c r="E8" s="94"/>
      <c r="F8" s="94"/>
    </row>
    <row r="9" spans="1:6" ht="12.75">
      <c r="A9" s="93"/>
      <c r="B9" s="94"/>
      <c r="C9" s="94"/>
      <c r="D9" s="94"/>
      <c r="E9" s="94"/>
      <c r="F9" s="1" t="s">
        <v>1124</v>
      </c>
    </row>
    <row r="10" spans="1:6" ht="12.75">
      <c r="A10" s="93"/>
      <c r="B10" s="112" t="s">
        <v>941</v>
      </c>
      <c r="C10" s="94"/>
      <c r="D10" s="94"/>
      <c r="E10" s="94"/>
      <c r="F10" s="94"/>
    </row>
    <row r="12" spans="1:6" ht="51">
      <c r="A12" s="111" t="s">
        <v>1104</v>
      </c>
      <c r="B12" s="111" t="s">
        <v>1130</v>
      </c>
      <c r="C12" s="111" t="s">
        <v>557</v>
      </c>
      <c r="D12" s="111" t="s">
        <v>558</v>
      </c>
      <c r="E12" s="111" t="s">
        <v>1136</v>
      </c>
      <c r="F12" s="111" t="s">
        <v>1137</v>
      </c>
    </row>
    <row r="13" spans="1:6" ht="12.75">
      <c r="A13" s="91"/>
      <c r="B13" s="91"/>
      <c r="C13" s="91"/>
      <c r="D13" s="91"/>
      <c r="E13" s="91"/>
      <c r="F13" s="91"/>
    </row>
    <row r="14" spans="1:6" ht="12.75">
      <c r="A14" s="77"/>
      <c r="B14" s="77"/>
      <c r="C14" s="77"/>
      <c r="D14" s="77"/>
      <c r="E14" s="77"/>
      <c r="F14" s="77"/>
    </row>
    <row r="15" spans="1:6" ht="12.75">
      <c r="A15" s="77"/>
      <c r="B15" s="77"/>
      <c r="C15" s="77"/>
      <c r="D15" s="77"/>
      <c r="E15" s="77"/>
      <c r="F15" s="77"/>
    </row>
    <row r="16" spans="1:6" ht="12.75">
      <c r="A16" s="77"/>
      <c r="B16" s="108" t="s">
        <v>1220</v>
      </c>
      <c r="C16" s="108" t="s">
        <v>1220</v>
      </c>
      <c r="D16" s="108" t="s">
        <v>1220</v>
      </c>
      <c r="E16" s="108" t="s">
        <v>1220</v>
      </c>
      <c r="F16" s="77"/>
    </row>
    <row r="17" spans="1:6" ht="12.75">
      <c r="A17" s="77"/>
      <c r="B17" s="77"/>
      <c r="C17" s="77"/>
      <c r="D17" s="77"/>
      <c r="E17" s="77"/>
      <c r="F17" s="77"/>
    </row>
    <row r="18" spans="1:6" ht="12.75">
      <c r="A18" s="77"/>
      <c r="B18" s="77"/>
      <c r="C18" s="77"/>
      <c r="D18" s="77"/>
      <c r="E18" s="77"/>
      <c r="F18" s="77"/>
    </row>
    <row r="19" spans="1:6" ht="12.75">
      <c r="A19" s="77"/>
      <c r="B19" s="77"/>
      <c r="C19" s="77"/>
      <c r="D19" s="77"/>
      <c r="E19" s="77"/>
      <c r="F19" s="77"/>
    </row>
    <row r="20" spans="1:6" ht="12.75">
      <c r="A20" s="77"/>
      <c r="B20" s="77"/>
      <c r="C20" s="77"/>
      <c r="D20" s="77"/>
      <c r="E20" s="77"/>
      <c r="F20" s="77"/>
    </row>
    <row r="21" spans="1:6" ht="12.75">
      <c r="A21" s="77"/>
      <c r="B21" s="77"/>
      <c r="C21" s="77"/>
      <c r="D21" s="77"/>
      <c r="E21" s="77"/>
      <c r="F21" s="77"/>
    </row>
    <row r="22" spans="1:6" ht="12.75">
      <c r="A22" s="77"/>
      <c r="B22" s="77"/>
      <c r="C22" s="77"/>
      <c r="D22" s="77"/>
      <c r="E22" s="77"/>
      <c r="F22" s="77"/>
    </row>
    <row r="23" spans="1:6" ht="12.75">
      <c r="A23" s="77"/>
      <c r="B23" s="77"/>
      <c r="C23" s="77"/>
      <c r="D23" s="77"/>
      <c r="E23" s="77"/>
      <c r="F23" s="77"/>
    </row>
    <row r="24" ht="12.75">
      <c r="A24" s="45" t="s">
        <v>545</v>
      </c>
    </row>
  </sheetData>
  <sheetProtection/>
  <printOptions horizontalCentered="1"/>
  <pageMargins left="0.22" right="0.75" top="0.49" bottom="0.63" header="0.23" footer="0.28"/>
  <pageSetup horizontalDpi="600" verticalDpi="600" orientation="landscape" paperSize="9" scale="115" r:id="rId1"/>
  <headerFooter alignWithMargins="0">
    <oddFooter>&amp;L&amp;F-&amp;A&amp;CPage-&amp;P of &amp;P&amp;R&amp;D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35"/>
  <sheetViews>
    <sheetView zoomScalePageLayoutView="0" workbookViewId="0" topLeftCell="A1">
      <selection activeCell="B7" sqref="B7:B9"/>
    </sheetView>
  </sheetViews>
  <sheetFormatPr defaultColWidth="9.140625" defaultRowHeight="12.75"/>
  <cols>
    <col min="1" max="1" width="20.7109375" style="114" customWidth="1"/>
    <col min="2" max="6" width="20.140625" style="114" customWidth="1"/>
    <col min="7" max="7" width="10.7109375" style="114" customWidth="1"/>
    <col min="8" max="16384" width="9.140625" style="114" customWidth="1"/>
  </cols>
  <sheetData>
    <row r="3" spans="1:6" ht="12.75">
      <c r="A3" s="9" t="s">
        <v>1398</v>
      </c>
      <c r="D3" s="84"/>
      <c r="E3" s="85"/>
      <c r="F3" s="85"/>
    </row>
    <row r="4" spans="1:6" ht="12.75">
      <c r="A4" s="553" t="s">
        <v>209</v>
      </c>
      <c r="B4" s="553"/>
      <c r="C4" s="553"/>
      <c r="D4" s="553"/>
      <c r="E4" s="553"/>
      <c r="F4" s="553"/>
    </row>
    <row r="5" spans="1:6" ht="12.75">
      <c r="A5" s="553" t="s">
        <v>555</v>
      </c>
      <c r="B5" s="553"/>
      <c r="C5" s="553"/>
      <c r="D5" s="553"/>
      <c r="E5" s="553"/>
      <c r="F5" s="553"/>
    </row>
    <row r="6" spans="1:6" ht="12.75">
      <c r="A6" s="234"/>
      <c r="B6" s="234"/>
      <c r="C6" s="234"/>
      <c r="D6" s="234"/>
      <c r="E6" s="234"/>
      <c r="F6" s="234"/>
    </row>
    <row r="7" spans="1:6" ht="12.75">
      <c r="A7" s="234"/>
      <c r="B7" s="89" t="s">
        <v>1350</v>
      </c>
      <c r="C7" s="234"/>
      <c r="D7" s="234"/>
      <c r="E7" s="204" t="s">
        <v>1193</v>
      </c>
      <c r="F7" s="234"/>
    </row>
    <row r="8" spans="1:6" ht="12.75">
      <c r="A8" s="234"/>
      <c r="B8" s="89" t="s">
        <v>1351</v>
      </c>
      <c r="C8" s="234"/>
      <c r="D8" s="234"/>
      <c r="E8" s="234"/>
      <c r="F8" s="249"/>
    </row>
    <row r="9" spans="1:6" ht="12.75">
      <c r="A9" s="234"/>
      <c r="B9" s="89" t="s">
        <v>1394</v>
      </c>
      <c r="C9" s="234"/>
      <c r="D9" s="234"/>
      <c r="E9" s="234"/>
      <c r="F9" s="234"/>
    </row>
    <row r="10" spans="1:6" ht="12.75">
      <c r="A10" s="234"/>
      <c r="B10" s="234"/>
      <c r="C10" s="234"/>
      <c r="D10" s="234"/>
      <c r="F10" s="228" t="s">
        <v>857</v>
      </c>
    </row>
    <row r="11" ht="12.75">
      <c r="A11" s="228" t="s">
        <v>424</v>
      </c>
    </row>
    <row r="12" spans="1:6" ht="51">
      <c r="A12" s="250" t="s">
        <v>1104</v>
      </c>
      <c r="B12" s="250" t="s">
        <v>666</v>
      </c>
      <c r="C12" s="250" t="s">
        <v>45</v>
      </c>
      <c r="D12" s="250" t="s">
        <v>562</v>
      </c>
      <c r="E12" s="250" t="s">
        <v>1136</v>
      </c>
      <c r="F12" s="250" t="s">
        <v>1137</v>
      </c>
    </row>
    <row r="13" spans="1:6" ht="12.75">
      <c r="A13" s="251"/>
      <c r="B13" s="251"/>
      <c r="C13" s="251"/>
      <c r="D13" s="251"/>
      <c r="E13" s="251"/>
      <c r="F13" s="251"/>
    </row>
    <row r="14" spans="1:6" ht="12.75">
      <c r="A14" s="79"/>
      <c r="B14" s="156">
        <v>122.74</v>
      </c>
      <c r="C14" s="156">
        <f>14.62+1.57</f>
        <v>16.189999999999998</v>
      </c>
      <c r="D14" s="252">
        <v>0</v>
      </c>
      <c r="E14" s="156">
        <f>B14+C14-D14</f>
        <v>138.93</v>
      </c>
      <c r="F14" s="237" t="s">
        <v>1058</v>
      </c>
    </row>
    <row r="15" spans="1:6" ht="12.75">
      <c r="A15" s="79"/>
      <c r="B15" s="79"/>
      <c r="C15" s="79"/>
      <c r="D15" s="79"/>
      <c r="E15" s="72"/>
      <c r="F15" s="237" t="s">
        <v>564</v>
      </c>
    </row>
    <row r="16" spans="1:6" ht="12.75">
      <c r="A16" s="79"/>
      <c r="B16" s="79"/>
      <c r="C16" s="156" t="s">
        <v>1072</v>
      </c>
      <c r="D16" s="79"/>
      <c r="E16" s="79"/>
      <c r="F16" s="79" t="s">
        <v>803</v>
      </c>
    </row>
    <row r="17" spans="1:6" ht="12.75">
      <c r="A17" s="79"/>
      <c r="B17" s="79"/>
      <c r="C17" s="79"/>
      <c r="D17" s="79"/>
      <c r="E17" s="79"/>
      <c r="F17" s="237" t="s">
        <v>564</v>
      </c>
    </row>
    <row r="18" spans="1:6" ht="12.75">
      <c r="A18" s="205"/>
      <c r="B18" s="205"/>
      <c r="C18" s="205"/>
      <c r="D18" s="205"/>
      <c r="E18" s="205"/>
      <c r="F18" s="253"/>
    </row>
    <row r="19" ht="12.75">
      <c r="C19" s="114" t="s">
        <v>427</v>
      </c>
    </row>
    <row r="20" ht="12.75">
      <c r="A20" s="228" t="s">
        <v>425</v>
      </c>
    </row>
    <row r="21" spans="1:6" ht="51">
      <c r="A21" s="250" t="s">
        <v>1104</v>
      </c>
      <c r="B21" s="250" t="s">
        <v>666</v>
      </c>
      <c r="C21" s="250" t="s">
        <v>45</v>
      </c>
      <c r="D21" s="250" t="s">
        <v>562</v>
      </c>
      <c r="E21" s="250" t="s">
        <v>1136</v>
      </c>
      <c r="F21" s="250" t="s">
        <v>1137</v>
      </c>
    </row>
    <row r="22" spans="1:6" ht="12.75">
      <c r="A22" s="251"/>
      <c r="B22" s="251"/>
      <c r="C22" s="251"/>
      <c r="D22" s="251"/>
      <c r="E22" s="251"/>
      <c r="F22" s="251"/>
    </row>
    <row r="23" spans="1:6" ht="12.75">
      <c r="A23" s="79"/>
      <c r="B23" s="156">
        <f>E14</f>
        <v>138.93</v>
      </c>
      <c r="C23" s="156">
        <f>'TRF-23'!EK27*0.5%</f>
        <v>14.645600000000002</v>
      </c>
      <c r="D23" s="156">
        <v>0</v>
      </c>
      <c r="E23" s="156">
        <f>B23+C23-D23</f>
        <v>153.5756</v>
      </c>
      <c r="F23" s="237" t="s">
        <v>1058</v>
      </c>
    </row>
    <row r="24" spans="1:6" ht="12.75">
      <c r="A24" s="79"/>
      <c r="B24" s="79"/>
      <c r="C24" s="79"/>
      <c r="D24" s="79"/>
      <c r="E24" s="72"/>
      <c r="F24" s="237" t="s">
        <v>564</v>
      </c>
    </row>
    <row r="25" spans="1:6" ht="12.75">
      <c r="A25" s="79"/>
      <c r="B25" s="79"/>
      <c r="C25" s="79"/>
      <c r="D25" s="79"/>
      <c r="E25" s="79"/>
      <c r="F25" s="79" t="s">
        <v>803</v>
      </c>
    </row>
    <row r="26" spans="1:6" ht="12.75">
      <c r="A26" s="79"/>
      <c r="B26" s="79"/>
      <c r="C26" s="79"/>
      <c r="D26" s="79"/>
      <c r="E26" s="79"/>
      <c r="F26" s="237" t="s">
        <v>564</v>
      </c>
    </row>
    <row r="29" ht="12.75">
      <c r="A29" s="228" t="s">
        <v>426</v>
      </c>
    </row>
    <row r="30" spans="1:6" ht="51">
      <c r="A30" s="250" t="s">
        <v>1104</v>
      </c>
      <c r="B30" s="250" t="s">
        <v>666</v>
      </c>
      <c r="C30" s="250" t="s">
        <v>45</v>
      </c>
      <c r="D30" s="250" t="s">
        <v>562</v>
      </c>
      <c r="E30" s="250" t="s">
        <v>1136</v>
      </c>
      <c r="F30" s="250" t="s">
        <v>1137</v>
      </c>
    </row>
    <row r="31" spans="1:6" ht="12.75">
      <c r="A31" s="251"/>
      <c r="B31" s="251"/>
      <c r="C31" s="251"/>
      <c r="D31" s="251"/>
      <c r="E31" s="251"/>
      <c r="F31" s="251"/>
    </row>
    <row r="32" spans="1:6" ht="12.75">
      <c r="A32" s="79"/>
      <c r="B32" s="156">
        <f>E23</f>
        <v>153.5756</v>
      </c>
      <c r="C32" s="156">
        <f>'TRF-23'!ET27*0.5%</f>
        <v>16.728450000000002</v>
      </c>
      <c r="D32" s="156">
        <v>0</v>
      </c>
      <c r="E32" s="156">
        <f>B32+C32-D32</f>
        <v>170.30405000000002</v>
      </c>
      <c r="F32" s="237" t="s">
        <v>1058</v>
      </c>
    </row>
    <row r="33" spans="1:6" ht="12.75">
      <c r="A33" s="79"/>
      <c r="B33" s="79"/>
      <c r="C33" s="79"/>
      <c r="D33" s="79"/>
      <c r="E33" s="72"/>
      <c r="F33" s="237" t="s">
        <v>564</v>
      </c>
    </row>
    <row r="34" spans="1:6" ht="12.75">
      <c r="A34" s="79"/>
      <c r="B34" s="79"/>
      <c r="C34" s="79"/>
      <c r="D34" s="79"/>
      <c r="E34" s="79"/>
      <c r="F34" s="79" t="s">
        <v>803</v>
      </c>
    </row>
    <row r="35" spans="1:6" ht="12.75">
      <c r="A35" s="79"/>
      <c r="B35" s="79"/>
      <c r="C35" s="79"/>
      <c r="D35" s="79"/>
      <c r="E35" s="79"/>
      <c r="F35" s="237" t="s">
        <v>564</v>
      </c>
    </row>
  </sheetData>
  <sheetProtection/>
  <mergeCells count="2">
    <mergeCell ref="A4:F4"/>
    <mergeCell ref="A5:F5"/>
  </mergeCells>
  <printOptions horizontalCentered="1"/>
  <pageMargins left="0.4" right="0.36" top="1" bottom="1" header="0.5" footer="0.5"/>
  <pageSetup fitToHeight="1" fitToWidth="1" horizontalDpi="600" verticalDpi="600" orientation="portrait" paperSize="9" scale="80" r:id="rId1"/>
  <headerFooter alignWithMargins="0">
    <oddFooter>&amp;L&amp;F&amp;CPage-&amp;P of &amp;P&amp;R&amp;D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2:FB54"/>
  <sheetViews>
    <sheetView zoomScalePageLayoutView="0" workbookViewId="0" topLeftCell="A7">
      <pane xSplit="4" ySplit="11" topLeftCell="EB26" activePane="bottomRight" state="frozen"/>
      <selection pane="topLeft" activeCell="A7" sqref="A7"/>
      <selection pane="topRight" activeCell="E7" sqref="E7"/>
      <selection pane="bottomLeft" activeCell="A14" sqref="A14"/>
      <selection pane="bottomRight" activeCell="FB27" sqref="FB27"/>
    </sheetView>
  </sheetViews>
  <sheetFormatPr defaultColWidth="9.140625" defaultRowHeight="12.75"/>
  <cols>
    <col min="1" max="1" width="24.7109375" style="114" customWidth="1"/>
    <col min="2" max="2" width="10.8515625" style="114" hidden="1" customWidth="1"/>
    <col min="3" max="3" width="10.57421875" style="114" hidden="1" customWidth="1"/>
    <col min="4" max="4" width="12.57421875" style="114" hidden="1" customWidth="1"/>
    <col min="5" max="5" width="12.57421875" style="114" customWidth="1"/>
    <col min="6" max="6" width="10.28125" style="114" hidden="1" customWidth="1"/>
    <col min="7" max="7" width="11.7109375" style="114" hidden="1" customWidth="1"/>
    <col min="8" max="8" width="11.8515625" style="114" hidden="1" customWidth="1"/>
    <col min="9" max="9" width="11.140625" style="114" hidden="1" customWidth="1"/>
    <col min="10" max="17" width="12.00390625" style="114" hidden="1" customWidth="1"/>
    <col min="18" max="24" width="12.421875" style="114" hidden="1" customWidth="1"/>
    <col min="25" max="72" width="12.00390625" style="114" hidden="1" customWidth="1"/>
    <col min="73" max="74" width="16.00390625" style="114" hidden="1" customWidth="1"/>
    <col min="75" max="75" width="14.00390625" style="114" hidden="1" customWidth="1"/>
    <col min="76" max="78" width="12.00390625" style="114" hidden="1" customWidth="1"/>
    <col min="79" max="79" width="12.8515625" style="114" hidden="1" customWidth="1"/>
    <col min="80" max="80" width="9.140625" style="114" hidden="1" customWidth="1"/>
    <col min="81" max="81" width="12.421875" style="114" hidden="1" customWidth="1"/>
    <col min="82" max="82" width="11.7109375" style="114" hidden="1" customWidth="1"/>
    <col min="83" max="84" width="9.140625" style="114" hidden="1" customWidth="1"/>
    <col min="85" max="85" width="11.7109375" style="114" hidden="1" customWidth="1"/>
    <col min="86" max="86" width="16.00390625" style="114" hidden="1" customWidth="1"/>
    <col min="87" max="94" width="12.28125" style="114" hidden="1" customWidth="1"/>
    <col min="95" max="95" width="16.00390625" style="114" hidden="1" customWidth="1"/>
    <col min="96" max="96" width="12.28125" style="114" hidden="1" customWidth="1"/>
    <col min="97" max="97" width="12.28125" style="297" hidden="1" customWidth="1"/>
    <col min="98" max="104" width="12.28125" style="114" hidden="1" customWidth="1"/>
    <col min="105" max="105" width="14.140625" style="114" hidden="1" customWidth="1"/>
    <col min="106" max="107" width="12.28125" style="114" hidden="1" customWidth="1"/>
    <col min="108" max="108" width="14.421875" style="114" hidden="1" customWidth="1"/>
    <col min="109" max="113" width="12.28125" style="114" hidden="1" customWidth="1"/>
    <col min="114" max="114" width="13.57421875" style="114" hidden="1" customWidth="1"/>
    <col min="115" max="115" width="12.00390625" style="114" hidden="1" customWidth="1"/>
    <col min="116" max="116" width="9.140625" style="114" hidden="1" customWidth="1"/>
    <col min="117" max="118" width="12.8515625" style="114" hidden="1" customWidth="1"/>
    <col min="119" max="119" width="12.7109375" style="114" hidden="1" customWidth="1"/>
    <col min="120" max="120" width="10.140625" style="114" hidden="1" customWidth="1"/>
    <col min="121" max="122" width="14.140625" style="114" hidden="1" customWidth="1"/>
    <col min="123" max="123" width="12.421875" style="114" hidden="1" customWidth="1"/>
    <col min="124" max="124" width="10.7109375" style="114" hidden="1" customWidth="1"/>
    <col min="125" max="125" width="9.140625" style="114" hidden="1" customWidth="1"/>
    <col min="126" max="126" width="13.28125" style="114" hidden="1" customWidth="1"/>
    <col min="127" max="127" width="12.7109375" style="114" hidden="1" customWidth="1"/>
    <col min="128" max="128" width="10.8515625" style="114" hidden="1" customWidth="1"/>
    <col min="129" max="129" width="9.140625" style="114" hidden="1" customWidth="1"/>
    <col min="130" max="130" width="14.140625" style="114" hidden="1" customWidth="1"/>
    <col min="131" max="131" width="15.140625" style="114" hidden="1" customWidth="1"/>
    <col min="132" max="132" width="13.421875" style="114" customWidth="1"/>
    <col min="133" max="133" width="11.140625" style="114" customWidth="1"/>
    <col min="134" max="134" width="9.140625" style="114" customWidth="1"/>
    <col min="135" max="135" width="13.00390625" style="114" customWidth="1"/>
    <col min="136" max="136" width="13.421875" style="114" customWidth="1"/>
    <col min="137" max="137" width="10.7109375" style="114" customWidth="1"/>
    <col min="138" max="138" width="9.140625" style="114" customWidth="1"/>
    <col min="139" max="139" width="12.421875" style="114" customWidth="1"/>
    <col min="140" max="140" width="13.7109375" style="114" customWidth="1"/>
    <col min="141" max="141" width="13.421875" style="114" customWidth="1"/>
    <col min="142" max="142" width="11.140625" style="114" customWidth="1"/>
    <col min="143" max="143" width="9.140625" style="114" customWidth="1"/>
    <col min="144" max="144" width="13.00390625" style="114" customWidth="1"/>
    <col min="145" max="145" width="13.421875" style="114" customWidth="1"/>
    <col min="146" max="146" width="10.7109375" style="114" customWidth="1"/>
    <col min="147" max="147" width="9.140625" style="114" customWidth="1"/>
    <col min="148" max="148" width="12.421875" style="114" customWidth="1"/>
    <col min="149" max="149" width="13.7109375" style="114" customWidth="1"/>
    <col min="150" max="150" width="13.421875" style="114" customWidth="1"/>
    <col min="151" max="151" width="11.140625" style="114" customWidth="1"/>
    <col min="152" max="152" width="9.140625" style="114" customWidth="1"/>
    <col min="153" max="153" width="13.00390625" style="114" customWidth="1"/>
    <col min="154" max="154" width="13.421875" style="114" customWidth="1"/>
    <col min="155" max="155" width="10.7109375" style="114" customWidth="1"/>
    <col min="156" max="156" width="9.140625" style="114" customWidth="1"/>
    <col min="157" max="157" width="12.421875" style="114" customWidth="1"/>
    <col min="158" max="158" width="13.7109375" style="114" customWidth="1"/>
    <col min="159" max="16384" width="9.140625" style="114" customWidth="1"/>
  </cols>
  <sheetData>
    <row r="1" ht="12.75"/>
    <row r="2" spans="1:105" ht="12.75">
      <c r="A2" s="100" t="s">
        <v>540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DA2" s="9"/>
    </row>
    <row r="3" spans="1:109" ht="12.75">
      <c r="A3" s="100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DA3" s="9"/>
      <c r="DE3" s="298" t="s">
        <v>451</v>
      </c>
    </row>
    <row r="4" spans="1:118" ht="12.75">
      <c r="A4" s="289" t="s">
        <v>861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4"/>
      <c r="AL4" s="234"/>
      <c r="AM4" s="234"/>
      <c r="AN4" s="234"/>
      <c r="AO4" s="234"/>
      <c r="AP4" s="234"/>
      <c r="AQ4" s="234"/>
      <c r="AR4" s="234"/>
      <c r="AS4" s="234"/>
      <c r="AT4" s="234"/>
      <c r="AU4" s="234"/>
      <c r="AV4" s="234"/>
      <c r="AW4" s="234"/>
      <c r="AX4" s="234"/>
      <c r="AY4" s="234"/>
      <c r="AZ4" s="234"/>
      <c r="BA4" s="234"/>
      <c r="BB4" s="234"/>
      <c r="BC4" s="234"/>
      <c r="BD4" s="234"/>
      <c r="BE4" s="234"/>
      <c r="BF4" s="234"/>
      <c r="BG4" s="234"/>
      <c r="BH4" s="234"/>
      <c r="BI4" s="234"/>
      <c r="BJ4" s="234"/>
      <c r="BK4" s="234"/>
      <c r="BL4" s="234"/>
      <c r="BM4" s="234"/>
      <c r="BN4" s="234"/>
      <c r="BO4" s="234"/>
      <c r="BP4" s="234"/>
      <c r="BQ4" s="234"/>
      <c r="BR4" s="234"/>
      <c r="BS4" s="234"/>
      <c r="BT4" s="234"/>
      <c r="BU4" s="234"/>
      <c r="BV4" s="234"/>
      <c r="BW4" s="234"/>
      <c r="BX4" s="234"/>
      <c r="BY4" s="234"/>
      <c r="BZ4" s="234"/>
      <c r="DA4" s="289"/>
      <c r="DN4" s="85" t="s">
        <v>959</v>
      </c>
    </row>
    <row r="5" spans="1:109" ht="12.75">
      <c r="A5" s="234"/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4"/>
      <c r="AK5" s="234"/>
      <c r="AL5" s="234"/>
      <c r="AM5" s="234"/>
      <c r="AN5" s="234"/>
      <c r="AO5" s="234"/>
      <c r="AP5" s="234"/>
      <c r="AQ5" s="234"/>
      <c r="AR5" s="234"/>
      <c r="AS5" s="234"/>
      <c r="AT5" s="234"/>
      <c r="AU5" s="234"/>
      <c r="AV5" s="234"/>
      <c r="AW5" s="234"/>
      <c r="AX5" s="234"/>
      <c r="AY5" s="234"/>
      <c r="AZ5" s="234"/>
      <c r="BA5" s="234"/>
      <c r="BB5" s="234"/>
      <c r="BC5" s="234"/>
      <c r="BD5" s="234"/>
      <c r="BE5" s="234"/>
      <c r="BF5" s="234"/>
      <c r="BG5" s="234"/>
      <c r="BH5" s="234"/>
      <c r="BI5" s="234"/>
      <c r="BJ5" s="234"/>
      <c r="BK5" s="234"/>
      <c r="BL5" s="234"/>
      <c r="BM5" s="234"/>
      <c r="BN5" s="234"/>
      <c r="BO5" s="234"/>
      <c r="BP5" s="234"/>
      <c r="BQ5" s="234"/>
      <c r="BR5" s="234"/>
      <c r="BS5" s="234"/>
      <c r="BT5" s="234"/>
      <c r="BU5" s="234"/>
      <c r="BV5" s="234"/>
      <c r="BW5" s="234"/>
      <c r="BX5" s="234"/>
      <c r="BY5" s="234"/>
      <c r="BZ5" s="234"/>
      <c r="DE5" s="228" t="s">
        <v>1282</v>
      </c>
    </row>
    <row r="6" spans="1:118" ht="12.75">
      <c r="A6" s="234"/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34"/>
      <c r="AI6" s="234"/>
      <c r="AJ6" s="234"/>
      <c r="AK6" s="234"/>
      <c r="AL6" s="234"/>
      <c r="AM6" s="234"/>
      <c r="AN6" s="234"/>
      <c r="AO6" s="234"/>
      <c r="AP6" s="234"/>
      <c r="AQ6" s="234"/>
      <c r="AR6" s="234"/>
      <c r="AS6" s="234"/>
      <c r="AT6" s="234"/>
      <c r="AU6" s="234"/>
      <c r="AV6" s="234"/>
      <c r="AW6" s="234"/>
      <c r="AX6" s="234"/>
      <c r="AY6" s="234"/>
      <c r="AZ6" s="234"/>
      <c r="BA6" s="234"/>
      <c r="BB6" s="234"/>
      <c r="BC6" s="234"/>
      <c r="BD6" s="234"/>
      <c r="BE6" s="234"/>
      <c r="BF6" s="234"/>
      <c r="BG6" s="234"/>
      <c r="BH6" s="234"/>
      <c r="BI6" s="234"/>
      <c r="BJ6" s="234"/>
      <c r="BK6" s="234"/>
      <c r="BL6" s="234"/>
      <c r="BM6" s="234"/>
      <c r="BN6" s="234"/>
      <c r="BO6" s="234"/>
      <c r="BP6" s="234"/>
      <c r="BQ6" s="234"/>
      <c r="BR6" s="234"/>
      <c r="BS6" s="234"/>
      <c r="BT6" s="234"/>
      <c r="BU6" s="234"/>
      <c r="BW6" s="298"/>
      <c r="BY6" s="234"/>
      <c r="BZ6" s="234"/>
      <c r="DN6" s="228" t="s">
        <v>857</v>
      </c>
    </row>
    <row r="7" spans="1:97" ht="12.75">
      <c r="A7" s="9" t="s">
        <v>1398</v>
      </c>
      <c r="D7" s="84"/>
      <c r="E7" s="85"/>
      <c r="F7" s="85"/>
      <c r="CS7" s="114"/>
    </row>
    <row r="8" spans="148:157" ht="18" customHeight="1">
      <c r="ER8" s="228"/>
      <c r="FA8" s="228"/>
    </row>
    <row r="9" spans="148:157" ht="18" customHeight="1" hidden="1">
      <c r="ER9" s="228"/>
      <c r="FA9" s="228"/>
    </row>
    <row r="10" spans="148:157" ht="18" customHeight="1" hidden="1">
      <c r="ER10" s="228"/>
      <c r="FA10" s="228"/>
    </row>
    <row r="11" spans="137:157" ht="18" customHeight="1">
      <c r="EG11" s="228" t="s">
        <v>451</v>
      </c>
      <c r="EP11" s="228" t="s">
        <v>451</v>
      </c>
      <c r="ER11" s="228"/>
      <c r="EW11" s="228" t="s">
        <v>451</v>
      </c>
      <c r="EX11" s="228"/>
      <c r="FA11" s="228" t="s">
        <v>9</v>
      </c>
    </row>
    <row r="12" spans="1:158" ht="19.5" customHeight="1">
      <c r="A12" s="163" t="s">
        <v>561</v>
      </c>
      <c r="B12" s="295"/>
      <c r="C12" s="295"/>
      <c r="D12" s="295"/>
      <c r="E12" s="295"/>
      <c r="F12" s="295"/>
      <c r="G12" s="579" t="s">
        <v>607</v>
      </c>
      <c r="H12" s="580"/>
      <c r="I12" s="580"/>
      <c r="J12" s="580"/>
      <c r="K12" s="580"/>
      <c r="L12" s="580"/>
      <c r="M12" s="580"/>
      <c r="N12" s="581"/>
      <c r="O12" s="579" t="s">
        <v>612</v>
      </c>
      <c r="P12" s="580"/>
      <c r="Q12" s="580"/>
      <c r="R12" s="580"/>
      <c r="S12" s="580"/>
      <c r="T12" s="580"/>
      <c r="U12" s="580"/>
      <c r="V12" s="580"/>
      <c r="W12" s="581"/>
      <c r="X12" s="579" t="s">
        <v>1038</v>
      </c>
      <c r="Y12" s="580"/>
      <c r="Z12" s="580"/>
      <c r="AA12" s="580"/>
      <c r="AB12" s="580"/>
      <c r="AC12" s="580"/>
      <c r="AD12" s="580"/>
      <c r="AE12" s="580"/>
      <c r="AF12" s="581"/>
      <c r="AG12" s="579" t="s">
        <v>1044</v>
      </c>
      <c r="AH12" s="580"/>
      <c r="AI12" s="580"/>
      <c r="AJ12" s="580"/>
      <c r="AK12" s="580"/>
      <c r="AL12" s="580"/>
      <c r="AM12" s="580"/>
      <c r="AN12" s="580"/>
      <c r="AO12" s="581"/>
      <c r="AP12" s="579" t="s">
        <v>241</v>
      </c>
      <c r="AQ12" s="580"/>
      <c r="AR12" s="580"/>
      <c r="AS12" s="580"/>
      <c r="AT12" s="580"/>
      <c r="AU12" s="580"/>
      <c r="AV12" s="580"/>
      <c r="AW12" s="580"/>
      <c r="AX12" s="581"/>
      <c r="AY12" s="579" t="s">
        <v>411</v>
      </c>
      <c r="AZ12" s="580"/>
      <c r="BA12" s="580"/>
      <c r="BB12" s="580"/>
      <c r="BC12" s="580"/>
      <c r="BD12" s="580"/>
      <c r="BE12" s="580"/>
      <c r="BF12" s="580"/>
      <c r="BG12" s="581"/>
      <c r="BH12" s="579" t="s">
        <v>1101</v>
      </c>
      <c r="BI12" s="580"/>
      <c r="BJ12" s="580"/>
      <c r="BK12" s="580"/>
      <c r="BL12" s="580"/>
      <c r="BM12" s="580"/>
      <c r="BN12" s="580"/>
      <c r="BO12" s="580"/>
      <c r="BP12" s="581"/>
      <c r="BQ12" s="579" t="s">
        <v>1216</v>
      </c>
      <c r="BR12" s="580"/>
      <c r="BS12" s="580"/>
      <c r="BT12" s="580"/>
      <c r="BU12" s="580"/>
      <c r="BV12" s="580"/>
      <c r="BW12" s="580"/>
      <c r="BX12" s="580"/>
      <c r="BY12" s="581"/>
      <c r="BZ12" s="579" t="s">
        <v>409</v>
      </c>
      <c r="CA12" s="580"/>
      <c r="CB12" s="580"/>
      <c r="CC12" s="580"/>
      <c r="CD12" s="580"/>
      <c r="CE12" s="580"/>
      <c r="CF12" s="580"/>
      <c r="CG12" s="580"/>
      <c r="CH12" s="581"/>
      <c r="CI12" s="578" t="s">
        <v>835</v>
      </c>
      <c r="CJ12" s="578"/>
      <c r="CK12" s="578"/>
      <c r="CL12" s="578"/>
      <c r="CM12" s="578"/>
      <c r="CN12" s="578"/>
      <c r="CO12" s="578"/>
      <c r="CP12" s="578"/>
      <c r="CQ12" s="578"/>
      <c r="CR12" s="578" t="s">
        <v>618</v>
      </c>
      <c r="CS12" s="578"/>
      <c r="CT12" s="578"/>
      <c r="CU12" s="578"/>
      <c r="CV12" s="578"/>
      <c r="CW12" s="578"/>
      <c r="CX12" s="578"/>
      <c r="CY12" s="578"/>
      <c r="CZ12" s="578"/>
      <c r="DA12" s="578" t="s">
        <v>617</v>
      </c>
      <c r="DB12" s="578"/>
      <c r="DC12" s="578"/>
      <c r="DD12" s="578"/>
      <c r="DE12" s="578"/>
      <c r="DF12" s="578"/>
      <c r="DG12" s="578"/>
      <c r="DH12" s="578"/>
      <c r="DI12" s="578"/>
      <c r="DJ12" s="578" t="s">
        <v>1160</v>
      </c>
      <c r="DK12" s="578"/>
      <c r="DL12" s="578"/>
      <c r="DM12" s="578"/>
      <c r="DN12" s="578"/>
      <c r="DO12" s="578"/>
      <c r="DP12" s="578"/>
      <c r="DQ12" s="578"/>
      <c r="DR12" s="578"/>
      <c r="DS12" s="578" t="s">
        <v>1007</v>
      </c>
      <c r="DT12" s="578"/>
      <c r="DU12" s="578"/>
      <c r="DV12" s="578"/>
      <c r="DW12" s="578"/>
      <c r="DX12" s="578"/>
      <c r="DY12" s="578"/>
      <c r="DZ12" s="578"/>
      <c r="EA12" s="578"/>
      <c r="EB12" s="578" t="s">
        <v>428</v>
      </c>
      <c r="EC12" s="578"/>
      <c r="ED12" s="578"/>
      <c r="EE12" s="578"/>
      <c r="EF12" s="578"/>
      <c r="EG12" s="578"/>
      <c r="EH12" s="578"/>
      <c r="EI12" s="578"/>
      <c r="EJ12" s="578"/>
      <c r="EK12" s="578" t="s">
        <v>1320</v>
      </c>
      <c r="EL12" s="578"/>
      <c r="EM12" s="578"/>
      <c r="EN12" s="578"/>
      <c r="EO12" s="578"/>
      <c r="EP12" s="578"/>
      <c r="EQ12" s="578"/>
      <c r="ER12" s="578"/>
      <c r="ES12" s="578"/>
      <c r="ET12" s="578" t="s">
        <v>429</v>
      </c>
      <c r="EU12" s="578"/>
      <c r="EV12" s="578"/>
      <c r="EW12" s="578"/>
      <c r="EX12" s="578"/>
      <c r="EY12" s="578"/>
      <c r="EZ12" s="578"/>
      <c r="FA12" s="578"/>
      <c r="FB12" s="578"/>
    </row>
    <row r="13" spans="2:158" ht="19.5" customHeight="1">
      <c r="B13" s="295"/>
      <c r="C13" s="295"/>
      <c r="D13" s="295"/>
      <c r="E13" s="295"/>
      <c r="F13" s="295"/>
      <c r="G13" s="579" t="s">
        <v>564</v>
      </c>
      <c r="H13" s="580"/>
      <c r="I13" s="580"/>
      <c r="J13" s="581"/>
      <c r="K13" s="582" t="s">
        <v>565</v>
      </c>
      <c r="L13" s="583"/>
      <c r="M13" s="584"/>
      <c r="N13" s="299" t="s">
        <v>566</v>
      </c>
      <c r="O13" s="579" t="s">
        <v>564</v>
      </c>
      <c r="P13" s="580"/>
      <c r="Q13" s="580"/>
      <c r="R13" s="581"/>
      <c r="S13" s="582" t="s">
        <v>565</v>
      </c>
      <c r="T13" s="583"/>
      <c r="U13" s="583"/>
      <c r="V13" s="584"/>
      <c r="W13" s="299" t="s">
        <v>566</v>
      </c>
      <c r="X13" s="579" t="s">
        <v>564</v>
      </c>
      <c r="Y13" s="580"/>
      <c r="Z13" s="580"/>
      <c r="AA13" s="581"/>
      <c r="AB13" s="582" t="s">
        <v>565</v>
      </c>
      <c r="AC13" s="583"/>
      <c r="AD13" s="583"/>
      <c r="AE13" s="584"/>
      <c r="AF13" s="299" t="s">
        <v>566</v>
      </c>
      <c r="AG13" s="579" t="s">
        <v>564</v>
      </c>
      <c r="AH13" s="580"/>
      <c r="AI13" s="580"/>
      <c r="AJ13" s="581"/>
      <c r="AK13" s="582" t="s">
        <v>565</v>
      </c>
      <c r="AL13" s="583"/>
      <c r="AM13" s="583"/>
      <c r="AN13" s="584"/>
      <c r="AO13" s="299" t="s">
        <v>566</v>
      </c>
      <c r="AP13" s="579" t="s">
        <v>564</v>
      </c>
      <c r="AQ13" s="580"/>
      <c r="AR13" s="580"/>
      <c r="AS13" s="581"/>
      <c r="AT13" s="582" t="s">
        <v>565</v>
      </c>
      <c r="AU13" s="583"/>
      <c r="AV13" s="583"/>
      <c r="AW13" s="584"/>
      <c r="AX13" s="299" t="s">
        <v>566</v>
      </c>
      <c r="AY13" s="579" t="s">
        <v>564</v>
      </c>
      <c r="AZ13" s="580"/>
      <c r="BA13" s="580"/>
      <c r="BB13" s="581"/>
      <c r="BC13" s="582" t="s">
        <v>565</v>
      </c>
      <c r="BD13" s="583"/>
      <c r="BE13" s="583"/>
      <c r="BF13" s="584"/>
      <c r="BG13" s="299" t="s">
        <v>566</v>
      </c>
      <c r="BH13" s="579" t="s">
        <v>564</v>
      </c>
      <c r="BI13" s="580"/>
      <c r="BJ13" s="580"/>
      <c r="BK13" s="581"/>
      <c r="BL13" s="582" t="s">
        <v>565</v>
      </c>
      <c r="BM13" s="583"/>
      <c r="BN13" s="583"/>
      <c r="BO13" s="584"/>
      <c r="BP13" s="299" t="s">
        <v>566</v>
      </c>
      <c r="BQ13" s="579" t="s">
        <v>564</v>
      </c>
      <c r="BR13" s="580"/>
      <c r="BS13" s="580"/>
      <c r="BT13" s="581"/>
      <c r="BU13" s="582" t="s">
        <v>565</v>
      </c>
      <c r="BV13" s="583"/>
      <c r="BW13" s="583"/>
      <c r="BX13" s="584"/>
      <c r="BY13" s="299" t="s">
        <v>566</v>
      </c>
      <c r="BZ13" s="579" t="s">
        <v>564</v>
      </c>
      <c r="CA13" s="580"/>
      <c r="CB13" s="580"/>
      <c r="CC13" s="581"/>
      <c r="CD13" s="582" t="s">
        <v>565</v>
      </c>
      <c r="CE13" s="583"/>
      <c r="CF13" s="583"/>
      <c r="CG13" s="584"/>
      <c r="CH13" s="299" t="s">
        <v>566</v>
      </c>
      <c r="CI13" s="579" t="s">
        <v>564</v>
      </c>
      <c r="CJ13" s="580"/>
      <c r="CK13" s="580"/>
      <c r="CL13" s="581"/>
      <c r="CM13" s="582" t="s">
        <v>565</v>
      </c>
      <c r="CN13" s="583"/>
      <c r="CO13" s="583"/>
      <c r="CP13" s="584"/>
      <c r="CQ13" s="299" t="s">
        <v>566</v>
      </c>
      <c r="CR13" s="579" t="s">
        <v>564</v>
      </c>
      <c r="CS13" s="580"/>
      <c r="CT13" s="580"/>
      <c r="CU13" s="581"/>
      <c r="CV13" s="582" t="s">
        <v>565</v>
      </c>
      <c r="CW13" s="583"/>
      <c r="CX13" s="583"/>
      <c r="CY13" s="584"/>
      <c r="CZ13" s="299" t="s">
        <v>566</v>
      </c>
      <c r="DA13" s="579" t="s">
        <v>564</v>
      </c>
      <c r="DB13" s="580"/>
      <c r="DC13" s="580"/>
      <c r="DD13" s="581"/>
      <c r="DE13" s="582" t="s">
        <v>565</v>
      </c>
      <c r="DF13" s="583"/>
      <c r="DG13" s="583"/>
      <c r="DH13" s="584"/>
      <c r="DI13" s="299" t="s">
        <v>566</v>
      </c>
      <c r="DJ13" s="579" t="s">
        <v>564</v>
      </c>
      <c r="DK13" s="580"/>
      <c r="DL13" s="580"/>
      <c r="DM13" s="581"/>
      <c r="DN13" s="582" t="s">
        <v>565</v>
      </c>
      <c r="DO13" s="583"/>
      <c r="DP13" s="583"/>
      <c r="DQ13" s="584"/>
      <c r="DR13" s="299" t="s">
        <v>566</v>
      </c>
      <c r="DS13" s="579" t="s">
        <v>564</v>
      </c>
      <c r="DT13" s="580"/>
      <c r="DU13" s="580"/>
      <c r="DV13" s="581"/>
      <c r="DW13" s="582" t="s">
        <v>565</v>
      </c>
      <c r="DX13" s="583"/>
      <c r="DY13" s="583"/>
      <c r="DZ13" s="584"/>
      <c r="EA13" s="299" t="s">
        <v>566</v>
      </c>
      <c r="EB13" s="579" t="s">
        <v>564</v>
      </c>
      <c r="EC13" s="580"/>
      <c r="ED13" s="580"/>
      <c r="EE13" s="581"/>
      <c r="EF13" s="582" t="s">
        <v>565</v>
      </c>
      <c r="EG13" s="583"/>
      <c r="EH13" s="583"/>
      <c r="EI13" s="584"/>
      <c r="EJ13" s="299" t="s">
        <v>566</v>
      </c>
      <c r="EK13" s="579" t="s">
        <v>564</v>
      </c>
      <c r="EL13" s="580"/>
      <c r="EM13" s="580"/>
      <c r="EN13" s="581"/>
      <c r="EO13" s="582" t="s">
        <v>565</v>
      </c>
      <c r="EP13" s="583"/>
      <c r="EQ13" s="583"/>
      <c r="ER13" s="584"/>
      <c r="ES13" s="299" t="s">
        <v>566</v>
      </c>
      <c r="ET13" s="579" t="s">
        <v>564</v>
      </c>
      <c r="EU13" s="580"/>
      <c r="EV13" s="580"/>
      <c r="EW13" s="581"/>
      <c r="EX13" s="582" t="s">
        <v>565</v>
      </c>
      <c r="EY13" s="583"/>
      <c r="EZ13" s="583"/>
      <c r="FA13" s="584"/>
      <c r="FB13" s="299" t="s">
        <v>566</v>
      </c>
    </row>
    <row r="14" spans="1:158" ht="62.25" customHeight="1">
      <c r="A14" s="250" t="s">
        <v>1104</v>
      </c>
      <c r="B14" s="300" t="s">
        <v>1258</v>
      </c>
      <c r="C14" s="300" t="s">
        <v>1259</v>
      </c>
      <c r="D14" s="300" t="s">
        <v>734</v>
      </c>
      <c r="E14" s="300" t="s">
        <v>48</v>
      </c>
      <c r="F14" s="300" t="s">
        <v>1259</v>
      </c>
      <c r="G14" s="300" t="s">
        <v>609</v>
      </c>
      <c r="H14" s="300" t="s">
        <v>610</v>
      </c>
      <c r="I14" s="300" t="s">
        <v>611</v>
      </c>
      <c r="J14" s="300" t="s">
        <v>613</v>
      </c>
      <c r="K14" s="300" t="s">
        <v>610</v>
      </c>
      <c r="L14" s="300" t="s">
        <v>611</v>
      </c>
      <c r="M14" s="301" t="s">
        <v>613</v>
      </c>
      <c r="N14" s="301" t="s">
        <v>613</v>
      </c>
      <c r="O14" s="300" t="s">
        <v>1273</v>
      </c>
      <c r="P14" s="300" t="s">
        <v>610</v>
      </c>
      <c r="Q14" s="300" t="s">
        <v>611</v>
      </c>
      <c r="R14" s="301" t="s">
        <v>614</v>
      </c>
      <c r="S14" s="300" t="s">
        <v>1273</v>
      </c>
      <c r="T14" s="300" t="s">
        <v>610</v>
      </c>
      <c r="U14" s="300" t="s">
        <v>611</v>
      </c>
      <c r="V14" s="301" t="s">
        <v>614</v>
      </c>
      <c r="W14" s="301" t="s">
        <v>614</v>
      </c>
      <c r="X14" s="300" t="s">
        <v>1276</v>
      </c>
      <c r="Y14" s="300" t="s">
        <v>610</v>
      </c>
      <c r="Z14" s="300" t="s">
        <v>611</v>
      </c>
      <c r="AA14" s="301" t="s">
        <v>615</v>
      </c>
      <c r="AB14" s="300" t="s">
        <v>1276</v>
      </c>
      <c r="AC14" s="300" t="s">
        <v>610</v>
      </c>
      <c r="AD14" s="300" t="s">
        <v>611</v>
      </c>
      <c r="AE14" s="301" t="s">
        <v>615</v>
      </c>
      <c r="AF14" s="301" t="s">
        <v>615</v>
      </c>
      <c r="AG14" s="300" t="s">
        <v>1277</v>
      </c>
      <c r="AH14" s="300" t="s">
        <v>610</v>
      </c>
      <c r="AI14" s="300" t="s">
        <v>611</v>
      </c>
      <c r="AJ14" s="301" t="s">
        <v>616</v>
      </c>
      <c r="AK14" s="300" t="s">
        <v>1277</v>
      </c>
      <c r="AL14" s="300" t="s">
        <v>610</v>
      </c>
      <c r="AM14" s="300" t="s">
        <v>611</v>
      </c>
      <c r="AN14" s="301" t="s">
        <v>616</v>
      </c>
      <c r="AO14" s="301" t="s">
        <v>616</v>
      </c>
      <c r="AP14" s="300" t="s">
        <v>1278</v>
      </c>
      <c r="AQ14" s="300" t="s">
        <v>610</v>
      </c>
      <c r="AR14" s="300" t="s">
        <v>611</v>
      </c>
      <c r="AS14" s="301" t="s">
        <v>1248</v>
      </c>
      <c r="AT14" s="300" t="s">
        <v>1278</v>
      </c>
      <c r="AU14" s="300" t="s">
        <v>610</v>
      </c>
      <c r="AV14" s="300" t="s">
        <v>611</v>
      </c>
      <c r="AW14" s="301" t="s">
        <v>1248</v>
      </c>
      <c r="AX14" s="301" t="s">
        <v>1248</v>
      </c>
      <c r="AY14" s="300" t="s">
        <v>1279</v>
      </c>
      <c r="AZ14" s="300" t="s">
        <v>610</v>
      </c>
      <c r="BA14" s="300" t="s">
        <v>611</v>
      </c>
      <c r="BB14" s="301" t="s">
        <v>1250</v>
      </c>
      <c r="BC14" s="300" t="s">
        <v>1279</v>
      </c>
      <c r="BD14" s="300" t="s">
        <v>610</v>
      </c>
      <c r="BE14" s="300" t="s">
        <v>611</v>
      </c>
      <c r="BF14" s="301" t="s">
        <v>1250</v>
      </c>
      <c r="BG14" s="301" t="s">
        <v>1250</v>
      </c>
      <c r="BH14" s="300" t="s">
        <v>1280</v>
      </c>
      <c r="BI14" s="300" t="s">
        <v>610</v>
      </c>
      <c r="BJ14" s="300" t="s">
        <v>611</v>
      </c>
      <c r="BK14" s="301" t="s">
        <v>1256</v>
      </c>
      <c r="BL14" s="300" t="s">
        <v>1280</v>
      </c>
      <c r="BM14" s="300" t="s">
        <v>610</v>
      </c>
      <c r="BN14" s="300" t="s">
        <v>611</v>
      </c>
      <c r="BO14" s="301" t="s">
        <v>1256</v>
      </c>
      <c r="BP14" s="301" t="s">
        <v>1256</v>
      </c>
      <c r="BQ14" s="300" t="s">
        <v>1281</v>
      </c>
      <c r="BR14" s="300" t="s">
        <v>610</v>
      </c>
      <c r="BS14" s="300" t="s">
        <v>611</v>
      </c>
      <c r="BT14" s="301" t="s">
        <v>1257</v>
      </c>
      <c r="BU14" s="300" t="s">
        <v>1281</v>
      </c>
      <c r="BV14" s="300" t="s">
        <v>610</v>
      </c>
      <c r="BW14" s="300" t="s">
        <v>611</v>
      </c>
      <c r="BX14" s="301" t="s">
        <v>1257</v>
      </c>
      <c r="BY14" s="301" t="s">
        <v>1257</v>
      </c>
      <c r="BZ14" s="300" t="s">
        <v>1082</v>
      </c>
      <c r="CA14" s="300" t="s">
        <v>610</v>
      </c>
      <c r="CB14" s="300" t="s">
        <v>611</v>
      </c>
      <c r="CC14" s="301" t="s">
        <v>1083</v>
      </c>
      <c r="CD14" s="300" t="s">
        <v>1082</v>
      </c>
      <c r="CE14" s="300" t="s">
        <v>610</v>
      </c>
      <c r="CF14" s="300" t="s">
        <v>611</v>
      </c>
      <c r="CG14" s="301" t="s">
        <v>1083</v>
      </c>
      <c r="CH14" s="301" t="s">
        <v>515</v>
      </c>
      <c r="CI14" s="300" t="s">
        <v>620</v>
      </c>
      <c r="CJ14" s="300" t="s">
        <v>610</v>
      </c>
      <c r="CK14" s="300" t="s">
        <v>611</v>
      </c>
      <c r="CL14" s="301" t="s">
        <v>1084</v>
      </c>
      <c r="CM14" s="300" t="s">
        <v>620</v>
      </c>
      <c r="CN14" s="300" t="s">
        <v>610</v>
      </c>
      <c r="CO14" s="300" t="s">
        <v>611</v>
      </c>
      <c r="CP14" s="301" t="s">
        <v>1084</v>
      </c>
      <c r="CQ14" s="301" t="s">
        <v>1084</v>
      </c>
      <c r="CR14" s="300" t="s">
        <v>1068</v>
      </c>
      <c r="CS14" s="302" t="s">
        <v>610</v>
      </c>
      <c r="CT14" s="300" t="s">
        <v>611</v>
      </c>
      <c r="CU14" s="301" t="s">
        <v>1069</v>
      </c>
      <c r="CV14" s="300" t="s">
        <v>1068</v>
      </c>
      <c r="CW14" s="300" t="s">
        <v>610</v>
      </c>
      <c r="CX14" s="300" t="s">
        <v>611</v>
      </c>
      <c r="CY14" s="301" t="s">
        <v>1069</v>
      </c>
      <c r="CZ14" s="301" t="s">
        <v>1069</v>
      </c>
      <c r="DA14" s="300" t="s">
        <v>928</v>
      </c>
      <c r="DB14" s="300" t="s">
        <v>610</v>
      </c>
      <c r="DC14" s="300" t="s">
        <v>611</v>
      </c>
      <c r="DD14" s="301" t="s">
        <v>929</v>
      </c>
      <c r="DE14" s="300" t="s">
        <v>928</v>
      </c>
      <c r="DF14" s="300" t="s">
        <v>551</v>
      </c>
      <c r="DG14" s="300" t="s">
        <v>611</v>
      </c>
      <c r="DH14" s="301" t="s">
        <v>929</v>
      </c>
      <c r="DI14" s="301" t="s">
        <v>929</v>
      </c>
      <c r="DJ14" s="300" t="s">
        <v>869</v>
      </c>
      <c r="DK14" s="300" t="s">
        <v>610</v>
      </c>
      <c r="DL14" s="300" t="s">
        <v>611</v>
      </c>
      <c r="DM14" s="301" t="s">
        <v>870</v>
      </c>
      <c r="DN14" s="300" t="s">
        <v>869</v>
      </c>
      <c r="DO14" s="300" t="s">
        <v>552</v>
      </c>
      <c r="DP14" s="300" t="s">
        <v>611</v>
      </c>
      <c r="DQ14" s="301" t="s">
        <v>870</v>
      </c>
      <c r="DR14" s="301" t="s">
        <v>870</v>
      </c>
      <c r="DS14" s="300" t="s">
        <v>533</v>
      </c>
      <c r="DT14" s="300" t="s">
        <v>610</v>
      </c>
      <c r="DU14" s="300" t="s">
        <v>611</v>
      </c>
      <c r="DV14" s="301" t="s">
        <v>534</v>
      </c>
      <c r="DW14" s="300" t="s">
        <v>533</v>
      </c>
      <c r="DX14" s="300" t="s">
        <v>552</v>
      </c>
      <c r="DY14" s="300" t="s">
        <v>611</v>
      </c>
      <c r="DZ14" s="301" t="s">
        <v>534</v>
      </c>
      <c r="EA14" s="301" t="s">
        <v>534</v>
      </c>
      <c r="EB14" s="300" t="s">
        <v>1161</v>
      </c>
      <c r="EC14" s="300" t="s">
        <v>610</v>
      </c>
      <c r="ED14" s="300" t="s">
        <v>611</v>
      </c>
      <c r="EE14" s="301" t="s">
        <v>1162</v>
      </c>
      <c r="EF14" s="300" t="s">
        <v>1161</v>
      </c>
      <c r="EG14" s="300" t="s">
        <v>552</v>
      </c>
      <c r="EH14" s="300" t="s">
        <v>611</v>
      </c>
      <c r="EI14" s="301" t="s">
        <v>1162</v>
      </c>
      <c r="EJ14" s="301" t="s">
        <v>504</v>
      </c>
      <c r="EK14" s="300" t="s">
        <v>1321</v>
      </c>
      <c r="EL14" s="300" t="s">
        <v>610</v>
      </c>
      <c r="EM14" s="300" t="s">
        <v>611</v>
      </c>
      <c r="EN14" s="301" t="s">
        <v>1322</v>
      </c>
      <c r="EO14" s="300" t="s">
        <v>1321</v>
      </c>
      <c r="EP14" s="300" t="s">
        <v>552</v>
      </c>
      <c r="EQ14" s="300" t="s">
        <v>611</v>
      </c>
      <c r="ER14" s="301" t="s">
        <v>1322</v>
      </c>
      <c r="ES14" s="301" t="s">
        <v>1322</v>
      </c>
      <c r="ET14" s="300" t="s">
        <v>430</v>
      </c>
      <c r="EU14" s="300" t="s">
        <v>610</v>
      </c>
      <c r="EV14" s="300" t="s">
        <v>611</v>
      </c>
      <c r="EW14" s="301" t="s">
        <v>431</v>
      </c>
      <c r="EX14" s="300" t="s">
        <v>430</v>
      </c>
      <c r="EY14" s="300" t="s">
        <v>552</v>
      </c>
      <c r="EZ14" s="300" t="s">
        <v>611</v>
      </c>
      <c r="FA14" s="301" t="s">
        <v>431</v>
      </c>
      <c r="FB14" s="301" t="s">
        <v>431</v>
      </c>
    </row>
    <row r="15" spans="1:158" ht="20.25" customHeight="1">
      <c r="A15" s="161"/>
      <c r="B15" s="162"/>
      <c r="C15" s="162"/>
      <c r="D15" s="162"/>
      <c r="E15" s="162"/>
      <c r="F15" s="162"/>
      <c r="G15" s="162">
        <v>1</v>
      </c>
      <c r="H15" s="162">
        <v>2</v>
      </c>
      <c r="I15" s="162">
        <v>3</v>
      </c>
      <c r="J15" s="162" t="s">
        <v>1260</v>
      </c>
      <c r="K15" s="162">
        <v>5</v>
      </c>
      <c r="L15" s="162">
        <v>6</v>
      </c>
      <c r="M15" s="163" t="s">
        <v>1261</v>
      </c>
      <c r="N15" s="163" t="s">
        <v>1272</v>
      </c>
      <c r="O15" s="162">
        <v>1</v>
      </c>
      <c r="P15" s="162">
        <v>2</v>
      </c>
      <c r="Q15" s="162">
        <v>3</v>
      </c>
      <c r="R15" s="162" t="s">
        <v>1260</v>
      </c>
      <c r="S15" s="162">
        <v>5</v>
      </c>
      <c r="T15" s="162">
        <v>6</v>
      </c>
      <c r="U15" s="162">
        <v>7</v>
      </c>
      <c r="V15" s="163" t="s">
        <v>1274</v>
      </c>
      <c r="W15" s="163" t="s">
        <v>1275</v>
      </c>
      <c r="X15" s="162">
        <v>1</v>
      </c>
      <c r="Y15" s="162">
        <v>2</v>
      </c>
      <c r="Z15" s="162">
        <v>3</v>
      </c>
      <c r="AA15" s="162" t="s">
        <v>1260</v>
      </c>
      <c r="AB15" s="162">
        <v>5</v>
      </c>
      <c r="AC15" s="162">
        <v>6</v>
      </c>
      <c r="AD15" s="162">
        <v>7</v>
      </c>
      <c r="AE15" s="163" t="s">
        <v>1274</v>
      </c>
      <c r="AF15" s="163" t="s">
        <v>1275</v>
      </c>
      <c r="AG15" s="162">
        <v>1</v>
      </c>
      <c r="AH15" s="162">
        <v>2</v>
      </c>
      <c r="AI15" s="162">
        <v>3</v>
      </c>
      <c r="AJ15" s="162" t="s">
        <v>1260</v>
      </c>
      <c r="AK15" s="162">
        <v>5</v>
      </c>
      <c r="AL15" s="162">
        <v>6</v>
      </c>
      <c r="AM15" s="162">
        <v>7</v>
      </c>
      <c r="AN15" s="163" t="s">
        <v>1274</v>
      </c>
      <c r="AO15" s="163" t="s">
        <v>1275</v>
      </c>
      <c r="AP15" s="162">
        <v>1</v>
      </c>
      <c r="AQ15" s="162">
        <v>2</v>
      </c>
      <c r="AR15" s="162">
        <v>3</v>
      </c>
      <c r="AS15" s="162" t="s">
        <v>1260</v>
      </c>
      <c r="AT15" s="162">
        <v>5</v>
      </c>
      <c r="AU15" s="162">
        <v>6</v>
      </c>
      <c r="AV15" s="162">
        <v>7</v>
      </c>
      <c r="AW15" s="163" t="s">
        <v>1274</v>
      </c>
      <c r="AX15" s="163" t="s">
        <v>1275</v>
      </c>
      <c r="AY15" s="162">
        <v>1</v>
      </c>
      <c r="AZ15" s="162">
        <v>2</v>
      </c>
      <c r="BA15" s="162">
        <v>3</v>
      </c>
      <c r="BB15" s="162" t="s">
        <v>1260</v>
      </c>
      <c r="BC15" s="162">
        <v>5</v>
      </c>
      <c r="BD15" s="162">
        <v>6</v>
      </c>
      <c r="BE15" s="162">
        <v>7</v>
      </c>
      <c r="BF15" s="163" t="s">
        <v>1274</v>
      </c>
      <c r="BG15" s="163" t="s">
        <v>1275</v>
      </c>
      <c r="BH15" s="162">
        <v>1</v>
      </c>
      <c r="BI15" s="162">
        <v>2</v>
      </c>
      <c r="BJ15" s="162">
        <v>3</v>
      </c>
      <c r="BK15" s="162" t="s">
        <v>1260</v>
      </c>
      <c r="BL15" s="162">
        <v>5</v>
      </c>
      <c r="BM15" s="162">
        <v>6</v>
      </c>
      <c r="BN15" s="162">
        <v>7</v>
      </c>
      <c r="BO15" s="163" t="s">
        <v>1274</v>
      </c>
      <c r="BP15" s="163" t="s">
        <v>1275</v>
      </c>
      <c r="BQ15" s="162">
        <v>1</v>
      </c>
      <c r="BR15" s="162">
        <v>2</v>
      </c>
      <c r="BS15" s="162">
        <v>3</v>
      </c>
      <c r="BT15" s="162" t="s">
        <v>1260</v>
      </c>
      <c r="BU15" s="162">
        <v>5</v>
      </c>
      <c r="BV15" s="162">
        <v>6</v>
      </c>
      <c r="BW15" s="162">
        <v>7</v>
      </c>
      <c r="BX15" s="163" t="s">
        <v>1274</v>
      </c>
      <c r="BY15" s="163" t="s">
        <v>1275</v>
      </c>
      <c r="BZ15" s="162">
        <v>1</v>
      </c>
      <c r="CA15" s="162">
        <v>2</v>
      </c>
      <c r="CB15" s="162">
        <v>3</v>
      </c>
      <c r="CC15" s="162" t="s">
        <v>1260</v>
      </c>
      <c r="CD15" s="162">
        <v>5</v>
      </c>
      <c r="CE15" s="162">
        <v>6</v>
      </c>
      <c r="CF15" s="162">
        <v>7</v>
      </c>
      <c r="CG15" s="163" t="s">
        <v>1274</v>
      </c>
      <c r="CH15" s="163" t="s">
        <v>1275</v>
      </c>
      <c r="CI15" s="162">
        <v>1</v>
      </c>
      <c r="CJ15" s="162">
        <v>2</v>
      </c>
      <c r="CK15" s="162">
        <v>3</v>
      </c>
      <c r="CL15" s="162" t="s">
        <v>1260</v>
      </c>
      <c r="CM15" s="162">
        <v>5</v>
      </c>
      <c r="CN15" s="162">
        <v>6</v>
      </c>
      <c r="CO15" s="162">
        <v>7</v>
      </c>
      <c r="CP15" s="163" t="s">
        <v>1274</v>
      </c>
      <c r="CQ15" s="163" t="s">
        <v>1275</v>
      </c>
      <c r="CR15" s="162">
        <v>1</v>
      </c>
      <c r="CS15" s="216">
        <v>2</v>
      </c>
      <c r="CT15" s="162">
        <v>3</v>
      </c>
      <c r="CU15" s="162" t="s">
        <v>1260</v>
      </c>
      <c r="CV15" s="162">
        <v>5</v>
      </c>
      <c r="CW15" s="162">
        <v>6</v>
      </c>
      <c r="CX15" s="162">
        <v>7</v>
      </c>
      <c r="CY15" s="163" t="s">
        <v>1274</v>
      </c>
      <c r="CZ15" s="163" t="s">
        <v>1275</v>
      </c>
      <c r="DA15" s="162">
        <v>1</v>
      </c>
      <c r="DB15" s="162">
        <v>2</v>
      </c>
      <c r="DC15" s="162">
        <v>3</v>
      </c>
      <c r="DD15" s="162" t="s">
        <v>1260</v>
      </c>
      <c r="DE15" s="162">
        <v>5</v>
      </c>
      <c r="DF15" s="162">
        <v>6</v>
      </c>
      <c r="DG15" s="162">
        <v>7</v>
      </c>
      <c r="DH15" s="163" t="s">
        <v>1274</v>
      </c>
      <c r="DI15" s="163" t="s">
        <v>1275</v>
      </c>
      <c r="DJ15" s="162">
        <v>1</v>
      </c>
      <c r="DK15" s="162">
        <v>2</v>
      </c>
      <c r="DL15" s="162">
        <v>3</v>
      </c>
      <c r="DM15" s="162" t="s">
        <v>1260</v>
      </c>
      <c r="DN15" s="162">
        <v>5</v>
      </c>
      <c r="DO15" s="162">
        <v>6</v>
      </c>
      <c r="DP15" s="162">
        <v>7</v>
      </c>
      <c r="DQ15" s="163" t="s">
        <v>1274</v>
      </c>
      <c r="DR15" s="163" t="s">
        <v>1275</v>
      </c>
      <c r="DS15" s="162">
        <v>1</v>
      </c>
      <c r="DT15" s="162">
        <v>2</v>
      </c>
      <c r="DU15" s="162">
        <v>3</v>
      </c>
      <c r="DV15" s="162" t="s">
        <v>1260</v>
      </c>
      <c r="DW15" s="162">
        <v>5</v>
      </c>
      <c r="DX15" s="162">
        <v>6</v>
      </c>
      <c r="DY15" s="162">
        <v>7</v>
      </c>
      <c r="DZ15" s="163" t="s">
        <v>1274</v>
      </c>
      <c r="EA15" s="163" t="s">
        <v>1275</v>
      </c>
      <c r="EB15" s="162">
        <v>1</v>
      </c>
      <c r="EC15" s="162">
        <v>2</v>
      </c>
      <c r="ED15" s="162">
        <v>3</v>
      </c>
      <c r="EE15" s="162" t="s">
        <v>1260</v>
      </c>
      <c r="EF15" s="162">
        <v>5</v>
      </c>
      <c r="EG15" s="162">
        <v>6</v>
      </c>
      <c r="EH15" s="162">
        <v>7</v>
      </c>
      <c r="EI15" s="163" t="s">
        <v>1274</v>
      </c>
      <c r="EJ15" s="163" t="s">
        <v>1275</v>
      </c>
      <c r="EK15" s="162">
        <v>1</v>
      </c>
      <c r="EL15" s="162">
        <v>2</v>
      </c>
      <c r="EM15" s="162">
        <v>3</v>
      </c>
      <c r="EN15" s="162" t="s">
        <v>1260</v>
      </c>
      <c r="EO15" s="162">
        <v>5</v>
      </c>
      <c r="EP15" s="162">
        <v>6</v>
      </c>
      <c r="EQ15" s="162">
        <v>7</v>
      </c>
      <c r="ER15" s="163" t="s">
        <v>1274</v>
      </c>
      <c r="ES15" s="163" t="s">
        <v>1275</v>
      </c>
      <c r="ET15" s="162">
        <v>1</v>
      </c>
      <c r="EU15" s="162">
        <v>2</v>
      </c>
      <c r="EV15" s="162">
        <v>3</v>
      </c>
      <c r="EW15" s="162" t="s">
        <v>1260</v>
      </c>
      <c r="EX15" s="162">
        <v>5</v>
      </c>
      <c r="EY15" s="162">
        <v>6</v>
      </c>
      <c r="EZ15" s="162">
        <v>7</v>
      </c>
      <c r="FA15" s="163" t="s">
        <v>1274</v>
      </c>
      <c r="FB15" s="163" t="s">
        <v>1275</v>
      </c>
    </row>
    <row r="16" spans="1:158" ht="14.25" customHeight="1">
      <c r="A16" s="161"/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3"/>
      <c r="N16" s="163"/>
      <c r="O16" s="164"/>
      <c r="P16" s="162"/>
      <c r="Q16" s="162"/>
      <c r="R16" s="162"/>
      <c r="S16" s="162"/>
      <c r="T16" s="162"/>
      <c r="U16" s="164"/>
      <c r="V16" s="165"/>
      <c r="W16" s="165"/>
      <c r="X16" s="164"/>
      <c r="Y16" s="164"/>
      <c r="Z16" s="162"/>
      <c r="AA16" s="162"/>
      <c r="AB16" s="162"/>
      <c r="AC16" s="162"/>
      <c r="AD16" s="162"/>
      <c r="AE16" s="163"/>
      <c r="AF16" s="163"/>
      <c r="AG16" s="162"/>
      <c r="AH16" s="162"/>
      <c r="AI16" s="162"/>
      <c r="AJ16" s="162"/>
      <c r="AK16" s="162"/>
      <c r="AL16" s="162"/>
      <c r="AM16" s="162"/>
      <c r="AN16" s="163"/>
      <c r="AO16" s="163"/>
      <c r="AP16" s="162"/>
      <c r="AQ16" s="162"/>
      <c r="AR16" s="162"/>
      <c r="AS16" s="162"/>
      <c r="AT16" s="162"/>
      <c r="AU16" s="162"/>
      <c r="AV16" s="162"/>
      <c r="AW16" s="163"/>
      <c r="AX16" s="163"/>
      <c r="AY16" s="162"/>
      <c r="AZ16" s="162"/>
      <c r="BA16" s="162"/>
      <c r="BB16" s="162"/>
      <c r="BC16" s="162"/>
      <c r="BD16" s="162"/>
      <c r="BE16" s="162"/>
      <c r="BF16" s="163"/>
      <c r="BG16" s="163"/>
      <c r="BH16" s="162"/>
      <c r="BI16" s="162"/>
      <c r="BJ16" s="162"/>
      <c r="BK16" s="162"/>
      <c r="BL16" s="162"/>
      <c r="BM16" s="162"/>
      <c r="BN16" s="162"/>
      <c r="BO16" s="163"/>
      <c r="BP16" s="163"/>
      <c r="BQ16" s="162"/>
      <c r="BR16" s="162"/>
      <c r="BS16" s="162"/>
      <c r="BT16" s="162"/>
      <c r="BU16" s="162"/>
      <c r="BV16" s="162"/>
      <c r="BW16" s="162"/>
      <c r="BX16" s="163"/>
      <c r="BY16" s="163"/>
      <c r="BZ16" s="162"/>
      <c r="CA16" s="162"/>
      <c r="CB16" s="162"/>
      <c r="CC16" s="162"/>
      <c r="CD16" s="162"/>
      <c r="CE16" s="162"/>
      <c r="CF16" s="162"/>
      <c r="CG16" s="163"/>
      <c r="CH16" s="163"/>
      <c r="CI16" s="162"/>
      <c r="CJ16" s="162"/>
      <c r="CK16" s="162"/>
      <c r="CL16" s="162"/>
      <c r="CM16" s="162"/>
      <c r="CN16" s="162"/>
      <c r="CO16" s="162"/>
      <c r="CP16" s="163"/>
      <c r="CQ16" s="163"/>
      <c r="CR16" s="162"/>
      <c r="CS16" s="216"/>
      <c r="CT16" s="162"/>
      <c r="CU16" s="162"/>
      <c r="CV16" s="162"/>
      <c r="CW16" s="162"/>
      <c r="CX16" s="162"/>
      <c r="CY16" s="163"/>
      <c r="CZ16" s="163"/>
      <c r="DA16" s="166"/>
      <c r="DB16" s="166"/>
      <c r="DC16" s="166"/>
      <c r="DD16" s="166"/>
      <c r="DE16" s="166"/>
      <c r="DF16" s="166"/>
      <c r="DG16" s="166"/>
      <c r="DH16" s="166"/>
      <c r="DI16" s="166"/>
      <c r="DJ16" s="166"/>
      <c r="DK16" s="166"/>
      <c r="DL16" s="166"/>
      <c r="DM16" s="166"/>
      <c r="DN16" s="166"/>
      <c r="DO16" s="166"/>
      <c r="DP16" s="166"/>
      <c r="DQ16" s="166"/>
      <c r="DR16" s="166"/>
      <c r="DS16" s="166"/>
      <c r="DT16" s="166"/>
      <c r="DU16" s="166"/>
      <c r="DV16" s="166"/>
      <c r="DW16" s="166"/>
      <c r="DX16" s="166"/>
      <c r="DY16" s="166"/>
      <c r="DZ16" s="166"/>
      <c r="EA16" s="166"/>
      <c r="EB16" s="166"/>
      <c r="EC16" s="166"/>
      <c r="ED16" s="166"/>
      <c r="EE16" s="166"/>
      <c r="EF16" s="166"/>
      <c r="EG16" s="166"/>
      <c r="EH16" s="166"/>
      <c r="EI16" s="166"/>
      <c r="EJ16" s="166"/>
      <c r="EK16" s="166"/>
      <c r="EL16" s="166"/>
      <c r="EM16" s="166"/>
      <c r="EN16" s="166"/>
      <c r="EO16" s="166"/>
      <c r="EP16" s="166"/>
      <c r="EQ16" s="166"/>
      <c r="ER16" s="166"/>
      <c r="ES16" s="166"/>
      <c r="ET16" s="166"/>
      <c r="EU16" s="166"/>
      <c r="EV16" s="166"/>
      <c r="EW16" s="166"/>
      <c r="EX16" s="166"/>
      <c r="EY16" s="166"/>
      <c r="EZ16" s="166"/>
      <c r="FA16" s="166"/>
      <c r="FB16" s="166"/>
    </row>
    <row r="17" spans="1:104" ht="26.25" customHeight="1">
      <c r="A17" s="229" t="s">
        <v>1221</v>
      </c>
      <c r="B17" s="229"/>
      <c r="C17" s="273"/>
      <c r="D17" s="273"/>
      <c r="E17" s="273"/>
      <c r="F17" s="273"/>
      <c r="G17" s="229"/>
      <c r="H17" s="229"/>
      <c r="I17" s="229"/>
      <c r="J17" s="229"/>
      <c r="K17" s="229"/>
      <c r="L17" s="229"/>
      <c r="M17" s="229"/>
      <c r="N17" s="229"/>
      <c r="O17" s="303"/>
      <c r="P17" s="229"/>
      <c r="Q17" s="229"/>
      <c r="R17" s="229"/>
      <c r="S17" s="229"/>
      <c r="T17" s="229"/>
      <c r="U17" s="303"/>
      <c r="V17" s="303"/>
      <c r="W17" s="303"/>
      <c r="X17" s="303"/>
      <c r="Y17" s="303"/>
      <c r="Z17" s="229"/>
      <c r="AA17" s="229"/>
      <c r="AB17" s="229"/>
      <c r="AC17" s="229"/>
      <c r="AD17" s="229"/>
      <c r="AE17" s="229"/>
      <c r="AF17" s="229"/>
      <c r="AG17" s="229"/>
      <c r="AH17" s="229"/>
      <c r="AI17" s="229"/>
      <c r="AJ17" s="229"/>
      <c r="AK17" s="229"/>
      <c r="AL17" s="229"/>
      <c r="AM17" s="229"/>
      <c r="AN17" s="229"/>
      <c r="AO17" s="229"/>
      <c r="AP17" s="229"/>
      <c r="AQ17" s="229"/>
      <c r="AR17" s="229"/>
      <c r="AS17" s="229"/>
      <c r="AT17" s="229"/>
      <c r="AU17" s="229"/>
      <c r="AV17" s="229"/>
      <c r="AW17" s="229"/>
      <c r="AX17" s="229"/>
      <c r="AY17" s="229"/>
      <c r="AZ17" s="229"/>
      <c r="BA17" s="229"/>
      <c r="BB17" s="229"/>
      <c r="BC17" s="229"/>
      <c r="BD17" s="229"/>
      <c r="BE17" s="229"/>
      <c r="BF17" s="229"/>
      <c r="BG17" s="229"/>
      <c r="BH17" s="229"/>
      <c r="BI17" s="229"/>
      <c r="BJ17" s="229"/>
      <c r="BK17" s="229"/>
      <c r="BL17" s="229"/>
      <c r="BM17" s="229"/>
      <c r="BN17" s="229"/>
      <c r="BO17" s="229"/>
      <c r="BP17" s="229"/>
      <c r="BQ17" s="229"/>
      <c r="BR17" s="229"/>
      <c r="BS17" s="229"/>
      <c r="BT17" s="229"/>
      <c r="BU17" s="79"/>
      <c r="BV17" s="79"/>
      <c r="BW17" s="79"/>
      <c r="BX17" s="79"/>
      <c r="BY17" s="79"/>
      <c r="BZ17" s="229"/>
      <c r="CA17" s="229"/>
      <c r="CB17" s="229"/>
      <c r="CC17" s="229"/>
      <c r="CD17" s="79"/>
      <c r="CE17" s="79"/>
      <c r="CF17" s="79"/>
      <c r="CG17" s="79"/>
      <c r="CH17" s="79"/>
      <c r="CI17" s="229"/>
      <c r="CJ17" s="229"/>
      <c r="CK17" s="229"/>
      <c r="CL17" s="229"/>
      <c r="CM17" s="79"/>
      <c r="CN17" s="79"/>
      <c r="CO17" s="79"/>
      <c r="CP17" s="79"/>
      <c r="CQ17" s="79"/>
      <c r="CR17" s="229"/>
      <c r="CS17" s="304"/>
      <c r="CT17" s="229"/>
      <c r="CU17" s="229"/>
      <c r="CV17" s="79"/>
      <c r="CW17" s="79"/>
      <c r="CX17" s="79"/>
      <c r="CY17" s="79"/>
      <c r="CZ17" s="79"/>
    </row>
    <row r="18" spans="1:158" ht="26.25" customHeight="1">
      <c r="A18" s="79" t="s">
        <v>567</v>
      </c>
      <c r="B18" s="72"/>
      <c r="C18" s="305"/>
      <c r="D18" s="305"/>
      <c r="E18" s="305"/>
      <c r="F18" s="305"/>
      <c r="G18" s="72">
        <f>307143857/10^7</f>
        <v>30.7143857</v>
      </c>
      <c r="H18" s="72">
        <f>7062756/10^7</f>
        <v>0.7062756</v>
      </c>
      <c r="I18" s="72">
        <v>0</v>
      </c>
      <c r="J18" s="72">
        <f aca="true" t="shared" si="0" ref="J18:J25">G18+H18-I18</f>
        <v>31.420661300000003</v>
      </c>
      <c r="K18" s="72">
        <f>G18*B18</f>
        <v>0</v>
      </c>
      <c r="L18" s="72"/>
      <c r="M18" s="72">
        <f aca="true" t="shared" si="1" ref="M18:M25">+K18-L18</f>
        <v>0</v>
      </c>
      <c r="N18" s="72">
        <f aca="true" t="shared" si="2" ref="N18:N25">J18-M18</f>
        <v>31.420661300000003</v>
      </c>
      <c r="O18" s="169">
        <f aca="true" t="shared" si="3" ref="O18:O25">J18</f>
        <v>31.420661300000003</v>
      </c>
      <c r="P18" s="72">
        <f>534291/10^7</f>
        <v>0.0534291</v>
      </c>
      <c r="Q18" s="72">
        <v>0</v>
      </c>
      <c r="R18" s="72">
        <f aca="true" t="shared" si="4" ref="R18:R25">O18+P18-Q18</f>
        <v>31.4740904</v>
      </c>
      <c r="S18" s="72">
        <f aca="true" t="shared" si="5" ref="S18:S25">M18</f>
        <v>0</v>
      </c>
      <c r="T18" s="72">
        <f>O18*$B18</f>
        <v>0</v>
      </c>
      <c r="U18" s="169"/>
      <c r="V18" s="169">
        <f aca="true" t="shared" si="6" ref="V18:V25">S18+T18-U18</f>
        <v>0</v>
      </c>
      <c r="W18" s="169">
        <f aca="true" t="shared" si="7" ref="W18:W25">R18-V18</f>
        <v>31.4740904</v>
      </c>
      <c r="X18" s="169">
        <f aca="true" t="shared" si="8" ref="X18:X25">R18</f>
        <v>31.4740904</v>
      </c>
      <c r="Y18" s="169">
        <f>6367569/10^7</f>
        <v>0.6367569</v>
      </c>
      <c r="Z18" s="72">
        <f>92093715/10^7</f>
        <v>9.2093715</v>
      </c>
      <c r="AA18" s="72">
        <f aca="true" t="shared" si="9" ref="AA18:AA25">X18+Y18-Z18</f>
        <v>22.901475800000004</v>
      </c>
      <c r="AB18" s="72">
        <f aca="true" t="shared" si="10" ref="AB18:AB25">V18</f>
        <v>0</v>
      </c>
      <c r="AC18" s="72">
        <f>X18*$B18</f>
        <v>0</v>
      </c>
      <c r="AD18" s="72">
        <v>0</v>
      </c>
      <c r="AE18" s="72">
        <f aca="true" t="shared" si="11" ref="AE18:AE25">AB18+AC18-AD18</f>
        <v>0</v>
      </c>
      <c r="AF18" s="169">
        <f aca="true" t="shared" si="12" ref="AF18:AF25">AA18-AE18</f>
        <v>22.901475800000004</v>
      </c>
      <c r="AG18" s="169">
        <f aca="true" t="shared" si="13" ref="AG18:AG25">AA18</f>
        <v>22.901475800000004</v>
      </c>
      <c r="AH18" s="72">
        <f>27160746/10^7</f>
        <v>2.7160746</v>
      </c>
      <c r="AI18" s="72">
        <f>4791435/10^7</f>
        <v>0.4791435</v>
      </c>
      <c r="AJ18" s="72">
        <f aca="true" t="shared" si="14" ref="AJ18:AJ25">AG18+AH18-AI18</f>
        <v>25.138406900000003</v>
      </c>
      <c r="AK18" s="72">
        <f aca="true" t="shared" si="15" ref="AK18:AK25">AE18</f>
        <v>0</v>
      </c>
      <c r="AL18" s="72">
        <f>AG18*$B18</f>
        <v>0</v>
      </c>
      <c r="AM18" s="72">
        <v>0</v>
      </c>
      <c r="AN18" s="72">
        <f aca="true" t="shared" si="16" ref="AN18:AN25">AK18+AL18-AM18</f>
        <v>0</v>
      </c>
      <c r="AO18" s="169">
        <f aca="true" t="shared" si="17" ref="AO18:AO25">AJ18-AN18</f>
        <v>25.138406900000003</v>
      </c>
      <c r="AP18" s="72">
        <f aca="true" t="shared" si="18" ref="AP18:AP25">AJ18</f>
        <v>25.138406900000003</v>
      </c>
      <c r="AQ18" s="156">
        <f>4193962/10^7</f>
        <v>0.4193962</v>
      </c>
      <c r="AR18" s="156">
        <v>0</v>
      </c>
      <c r="AS18" s="72">
        <f aca="true" t="shared" si="19" ref="AS18:AS25">AP18+AQ18-AR18</f>
        <v>25.557803100000005</v>
      </c>
      <c r="AT18" s="72">
        <f aca="true" t="shared" si="20" ref="AT18:AT25">AN18</f>
        <v>0</v>
      </c>
      <c r="AU18" s="72">
        <v>0</v>
      </c>
      <c r="AV18" s="72">
        <v>0</v>
      </c>
      <c r="AW18" s="72">
        <f aca="true" t="shared" si="21" ref="AW18:AW25">AT18+AU18-AV18</f>
        <v>0</v>
      </c>
      <c r="AX18" s="169">
        <f aca="true" t="shared" si="22" ref="AX18:AX25">AS18-AW18</f>
        <v>25.557803100000005</v>
      </c>
      <c r="AY18" s="72">
        <f aca="true" t="shared" si="23" ref="AY18:AY25">AS18</f>
        <v>25.557803100000005</v>
      </c>
      <c r="AZ18" s="156">
        <f>4712435/10^7</f>
        <v>0.4712435</v>
      </c>
      <c r="BA18" s="72">
        <v>0</v>
      </c>
      <c r="BB18" s="72">
        <f aca="true" t="shared" si="24" ref="BB18:BB25">AY18+AZ18-BA18</f>
        <v>26.029046600000004</v>
      </c>
      <c r="BC18" s="72">
        <f aca="true" t="shared" si="25" ref="BC18:BC25">AW18</f>
        <v>0</v>
      </c>
      <c r="BD18" s="72">
        <f aca="true" t="shared" si="26" ref="BD18:BD25">AY18*$B18</f>
        <v>0</v>
      </c>
      <c r="BE18" s="72"/>
      <c r="BF18" s="72">
        <f aca="true" t="shared" si="27" ref="BF18:BF25">BC18+BD18-BE18</f>
        <v>0</v>
      </c>
      <c r="BG18" s="169">
        <f aca="true" t="shared" si="28" ref="BG18:BG25">BB18-BF18</f>
        <v>26.029046600000004</v>
      </c>
      <c r="BH18" s="72">
        <f aca="true" t="shared" si="29" ref="BH18:BH25">BB18</f>
        <v>26.029046600000004</v>
      </c>
      <c r="BI18" s="156">
        <v>0.4366309</v>
      </c>
      <c r="BJ18" s="72">
        <v>0</v>
      </c>
      <c r="BK18" s="72">
        <f>BH18+BI18-BJ18</f>
        <v>26.465677500000005</v>
      </c>
      <c r="BL18" s="72">
        <f aca="true" t="shared" si="30" ref="BL18:BL25">BF18</f>
        <v>0</v>
      </c>
      <c r="BM18" s="72">
        <f aca="true" t="shared" si="31" ref="BM18:BM25">BH18*$B18</f>
        <v>0</v>
      </c>
      <c r="BN18" s="72"/>
      <c r="BO18" s="72">
        <f aca="true" t="shared" si="32" ref="BO18:BO25">BL18+BM18-BN18</f>
        <v>0</v>
      </c>
      <c r="BP18" s="169">
        <f aca="true" t="shared" si="33" ref="BP18:BP25">BK18-BO18</f>
        <v>26.465677500000005</v>
      </c>
      <c r="BQ18" s="72">
        <v>26.465677500000005</v>
      </c>
      <c r="BR18" s="156">
        <v>6.7884385</v>
      </c>
      <c r="BS18" s="72">
        <v>0</v>
      </c>
      <c r="BT18" s="72">
        <f>BQ18+BR18-BS18</f>
        <v>33.254116</v>
      </c>
      <c r="BU18" s="72">
        <f aca="true" t="shared" si="34" ref="BU18:BU25">BO18</f>
        <v>0</v>
      </c>
      <c r="BV18" s="72">
        <f aca="true" t="shared" si="35" ref="BV18:BV25">BQ18*$B18</f>
        <v>0</v>
      </c>
      <c r="BW18" s="72"/>
      <c r="BX18" s="72">
        <f aca="true" t="shared" si="36" ref="BX18:BX25">BU18+BV18-BW18</f>
        <v>0</v>
      </c>
      <c r="BY18" s="169">
        <f aca="true" t="shared" si="37" ref="BY18:BY25">BT18-BX18</f>
        <v>33.254116</v>
      </c>
      <c r="BZ18" s="72">
        <f>BT18</f>
        <v>33.254116</v>
      </c>
      <c r="CA18" s="156">
        <v>0.1421292</v>
      </c>
      <c r="CB18" s="72">
        <v>0</v>
      </c>
      <c r="CC18" s="72">
        <f>BZ18+CA18-CB18</f>
        <v>33.3962452</v>
      </c>
      <c r="CD18" s="72">
        <f aca="true" t="shared" si="38" ref="CD18:CD25">BX18</f>
        <v>0</v>
      </c>
      <c r="CE18" s="72">
        <f aca="true" t="shared" si="39" ref="CE18:CE25">BZ18*$B18</f>
        <v>0</v>
      </c>
      <c r="CF18" s="72"/>
      <c r="CG18" s="72">
        <f aca="true" t="shared" si="40" ref="CG18:CG25">CD18+CE18-CF18</f>
        <v>0</v>
      </c>
      <c r="CH18" s="169">
        <f aca="true" t="shared" si="41" ref="CH18:CH25">CC18-CG18</f>
        <v>33.3962452</v>
      </c>
      <c r="CI18" s="72">
        <f aca="true" t="shared" si="42" ref="CI18:CI25">CC18</f>
        <v>33.3962452</v>
      </c>
      <c r="CJ18" s="72">
        <v>0.2589</v>
      </c>
      <c r="CK18" s="72">
        <v>0.0037</v>
      </c>
      <c r="CL18" s="72">
        <f>CI18+CJ18-CK18</f>
        <v>33.6514452</v>
      </c>
      <c r="CM18" s="72">
        <f>CG18</f>
        <v>0</v>
      </c>
      <c r="CN18" s="72">
        <f>CI18*$D18*0</f>
        <v>0</v>
      </c>
      <c r="CO18" s="72"/>
      <c r="CP18" s="72">
        <f aca="true" t="shared" si="43" ref="CP18:CP25">CM18+CN18-CO18</f>
        <v>0</v>
      </c>
      <c r="CQ18" s="169">
        <f>CL18-CP18</f>
        <v>33.6514452</v>
      </c>
      <c r="CR18" s="72">
        <f>CL18</f>
        <v>33.6514452</v>
      </c>
      <c r="CS18" s="217">
        <v>0.02</v>
      </c>
      <c r="CT18" s="72">
        <v>0</v>
      </c>
      <c r="CU18" s="72">
        <f aca="true" t="shared" si="44" ref="CU18:CU25">CR18+CS18-CT18</f>
        <v>33.6714452</v>
      </c>
      <c r="CV18" s="72">
        <f>CP18</f>
        <v>0</v>
      </c>
      <c r="CW18" s="72">
        <f>CR18*$E18</f>
        <v>0</v>
      </c>
      <c r="CX18" s="72"/>
      <c r="CY18" s="72">
        <f aca="true" t="shared" si="45" ref="CY18:CY25">CV18+CW18-CX18</f>
        <v>0</v>
      </c>
      <c r="CZ18" s="169">
        <f>CU18-CY18</f>
        <v>33.6714452</v>
      </c>
      <c r="DA18" s="72">
        <f aca="true" t="shared" si="46" ref="DA18:DA25">CU18</f>
        <v>33.6714452</v>
      </c>
      <c r="DB18" s="156">
        <f>1901986/10^7</f>
        <v>0.1901986</v>
      </c>
      <c r="DC18" s="72">
        <v>0</v>
      </c>
      <c r="DD18" s="72">
        <f aca="true" t="shared" si="47" ref="DD18:DD25">DA18+DB18-DC18</f>
        <v>33.8616438</v>
      </c>
      <c r="DE18" s="72">
        <f aca="true" t="shared" si="48" ref="DE18:DE25">CY18</f>
        <v>0</v>
      </c>
      <c r="DF18" s="72">
        <f>DA18*$E18</f>
        <v>0</v>
      </c>
      <c r="DG18" s="72">
        <v>0</v>
      </c>
      <c r="DH18" s="72">
        <f aca="true" t="shared" si="49" ref="DH18:DH25">DE18+DF18-DG18</f>
        <v>0</v>
      </c>
      <c r="DI18" s="169">
        <f aca="true" t="shared" si="50" ref="DI18:DI25">DD18-DH18</f>
        <v>33.8616438</v>
      </c>
      <c r="DJ18" s="72">
        <f aca="true" t="shared" si="51" ref="DJ18:DJ25">DD18</f>
        <v>33.8616438</v>
      </c>
      <c r="DK18" s="58">
        <f>5580515/10^7</f>
        <v>0.5580515</v>
      </c>
      <c r="DL18" s="72">
        <v>0</v>
      </c>
      <c r="DM18" s="72">
        <f aca="true" t="shared" si="52" ref="DM18:DM25">DJ18+DK18-DL18</f>
        <v>34.4196953</v>
      </c>
      <c r="DN18" s="72">
        <f aca="true" t="shared" si="53" ref="DN18:DN26">DH18</f>
        <v>0</v>
      </c>
      <c r="DO18" s="72">
        <f>DJ18*$E18</f>
        <v>0</v>
      </c>
      <c r="DP18" s="72"/>
      <c r="DQ18" s="72">
        <f>DN18+DO18-DP18</f>
        <v>0</v>
      </c>
      <c r="DR18" s="169">
        <f aca="true" t="shared" si="54" ref="DR18:DR25">DM18-DQ18</f>
        <v>34.4196953</v>
      </c>
      <c r="DS18" s="72">
        <f aca="true" t="shared" si="55" ref="DS18:DS25">DM18</f>
        <v>34.4196953</v>
      </c>
      <c r="DT18" s="58">
        <f>3340650/10^7</f>
        <v>0.334065</v>
      </c>
      <c r="DU18" s="72">
        <v>0</v>
      </c>
      <c r="DV18" s="72">
        <f aca="true" t="shared" si="56" ref="DV18:DV25">DS18+DT18-DU18</f>
        <v>34.7537603</v>
      </c>
      <c r="DW18" s="72">
        <f aca="true" t="shared" si="57" ref="DW18:DW26">DQ18</f>
        <v>0</v>
      </c>
      <c r="DX18" s="72">
        <f>DS18*$E18</f>
        <v>0</v>
      </c>
      <c r="DY18" s="72"/>
      <c r="DZ18" s="72">
        <f aca="true" t="shared" si="58" ref="DZ18:DZ25">DW18+DX18-DY18</f>
        <v>0</v>
      </c>
      <c r="EA18" s="169">
        <f aca="true" t="shared" si="59" ref="EA18:EA25">DV18-DZ18</f>
        <v>34.7537603</v>
      </c>
      <c r="EB18" s="72">
        <f>18.33+16.52</f>
        <v>34.849999999999994</v>
      </c>
      <c r="EC18" s="58">
        <f>1.16+0.47</f>
        <v>1.63</v>
      </c>
      <c r="ED18" s="72">
        <v>0</v>
      </c>
      <c r="EE18" s="72">
        <f aca="true" t="shared" si="60" ref="EE18:EE25">EB18+EC18-ED18</f>
        <v>36.48</v>
      </c>
      <c r="EF18" s="72">
        <v>1.72</v>
      </c>
      <c r="EG18" s="72">
        <v>0.16</v>
      </c>
      <c r="EH18" s="72"/>
      <c r="EI18" s="72">
        <f>EF18+EG18+EH18</f>
        <v>1.88</v>
      </c>
      <c r="EJ18" s="169">
        <f aca="true" t="shared" si="61" ref="EJ18:EJ25">EE18-EI18</f>
        <v>34.599999999999994</v>
      </c>
      <c r="EK18" s="72">
        <f aca="true" t="shared" si="62" ref="EK18:EK25">EE18</f>
        <v>36.48</v>
      </c>
      <c r="EL18" s="58">
        <f>EK18/EK$27*416.57</f>
        <v>5.188067952149449</v>
      </c>
      <c r="EM18" s="72">
        <v>0</v>
      </c>
      <c r="EN18" s="72">
        <f aca="true" t="shared" si="63" ref="EN18:EN25">EK18+EL18-EM18</f>
        <v>41.66806795214944</v>
      </c>
      <c r="EO18" s="72">
        <f aca="true" t="shared" si="64" ref="EO18:EO26">EI18</f>
        <v>1.88</v>
      </c>
      <c r="EP18" s="72">
        <f aca="true" t="shared" si="65" ref="EP18:EP25">EK18*$E18</f>
        <v>0</v>
      </c>
      <c r="EQ18" s="72"/>
      <c r="ER18" s="72">
        <f aca="true" t="shared" si="66" ref="ER18:ER25">EO18+EP18-EQ18</f>
        <v>1.88</v>
      </c>
      <c r="ES18" s="169">
        <f aca="true" t="shared" si="67" ref="ES18:ES25">EN18-ER18</f>
        <v>39.78806795214944</v>
      </c>
      <c r="ET18" s="72">
        <f aca="true" t="shared" si="68" ref="ET18:ET25">EN18</f>
        <v>41.66806795214944</v>
      </c>
      <c r="EU18" s="58">
        <f>ET18/ET$27*444.52</f>
        <v>5.536164308734362</v>
      </c>
      <c r="EV18" s="72">
        <v>0</v>
      </c>
      <c r="EW18" s="72">
        <f aca="true" t="shared" si="69" ref="EW18:EW25">ET18+EU18-EV18</f>
        <v>47.204232260883806</v>
      </c>
      <c r="EX18" s="72">
        <f aca="true" t="shared" si="70" ref="EX18:EX26">ER18</f>
        <v>1.88</v>
      </c>
      <c r="EY18" s="72">
        <f aca="true" t="shared" si="71" ref="EY18:EY25">ET18*$E18</f>
        <v>0</v>
      </c>
      <c r="EZ18" s="72"/>
      <c r="FA18" s="72">
        <f aca="true" t="shared" si="72" ref="FA18:FA25">EX18+EY18-EZ18</f>
        <v>1.88</v>
      </c>
      <c r="FB18" s="169">
        <f aca="true" t="shared" si="73" ref="FB18:FB25">EW18-FA18</f>
        <v>45.324232260883804</v>
      </c>
    </row>
    <row r="19" spans="1:158" ht="26.25" customHeight="1">
      <c r="A19" s="79" t="s">
        <v>568</v>
      </c>
      <c r="B19" s="266">
        <v>0.018</v>
      </c>
      <c r="C19" s="167">
        <v>50</v>
      </c>
      <c r="D19" s="168">
        <v>0.0302</v>
      </c>
      <c r="E19" s="266">
        <v>0.0334</v>
      </c>
      <c r="F19" s="167">
        <v>50</v>
      </c>
      <c r="G19" s="72">
        <f>498148425/10^7</f>
        <v>49.8148425</v>
      </c>
      <c r="H19" s="72">
        <f>64964272/10^7</f>
        <v>6.4964272</v>
      </c>
      <c r="I19" s="72">
        <v>0</v>
      </c>
      <c r="J19" s="72">
        <f t="shared" si="0"/>
        <v>56.3112697</v>
      </c>
      <c r="K19" s="72">
        <f>15044083/10^7</f>
        <v>1.5044083</v>
      </c>
      <c r="L19" s="72"/>
      <c r="M19" s="72">
        <f t="shared" si="1"/>
        <v>1.5044083</v>
      </c>
      <c r="N19" s="72">
        <f t="shared" si="2"/>
        <v>54.806861399999995</v>
      </c>
      <c r="O19" s="169">
        <f t="shared" si="3"/>
        <v>56.3112697</v>
      </c>
      <c r="P19" s="72">
        <f>58837834/10^7</f>
        <v>5.8837834</v>
      </c>
      <c r="Q19" s="72">
        <v>0</v>
      </c>
      <c r="R19" s="72">
        <f t="shared" si="4"/>
        <v>62.195053099999996</v>
      </c>
      <c r="S19" s="72">
        <f t="shared" si="5"/>
        <v>1.5044083</v>
      </c>
      <c r="T19" s="72">
        <f>17057661/10^7</f>
        <v>1.7057661</v>
      </c>
      <c r="U19" s="169"/>
      <c r="V19" s="169">
        <f t="shared" si="6"/>
        <v>3.2101743999999997</v>
      </c>
      <c r="W19" s="169">
        <f t="shared" si="7"/>
        <v>58.984878699999996</v>
      </c>
      <c r="X19" s="169">
        <f t="shared" si="8"/>
        <v>62.195053099999996</v>
      </c>
      <c r="Y19" s="169">
        <f>120047197/10^7</f>
        <v>12.0047197</v>
      </c>
      <c r="Z19" s="72">
        <f>213307251/10^7</f>
        <v>21.3307251</v>
      </c>
      <c r="AA19" s="72">
        <f t="shared" si="9"/>
        <v>52.869047699999996</v>
      </c>
      <c r="AB19" s="72">
        <f t="shared" si="10"/>
        <v>3.2101743999999997</v>
      </c>
      <c r="AC19" s="72">
        <f>18782906/10^7</f>
        <v>1.8782906</v>
      </c>
      <c r="AD19" s="72">
        <f>24040882/10^7</f>
        <v>2.4040882</v>
      </c>
      <c r="AE19" s="72">
        <f t="shared" si="11"/>
        <v>2.6843767999999995</v>
      </c>
      <c r="AF19" s="169">
        <f t="shared" si="12"/>
        <v>50.18467089999999</v>
      </c>
      <c r="AG19" s="169">
        <f t="shared" si="13"/>
        <v>52.869047699999996</v>
      </c>
      <c r="AH19" s="72">
        <f>76269675/10^7</f>
        <v>7.6269675</v>
      </c>
      <c r="AI19" s="72">
        <f>41655721/10^7</f>
        <v>4.1655721</v>
      </c>
      <c r="AJ19" s="72">
        <f t="shared" si="14"/>
        <v>56.3304431</v>
      </c>
      <c r="AK19" s="72">
        <f t="shared" si="15"/>
        <v>2.6843767999999995</v>
      </c>
      <c r="AL19" s="72">
        <f>14743779/10^7</f>
        <v>1.4743779</v>
      </c>
      <c r="AM19" s="72">
        <f>-2608816/10^7</f>
        <v>-0.2608816</v>
      </c>
      <c r="AN19" s="72">
        <f t="shared" si="16"/>
        <v>4.4196363</v>
      </c>
      <c r="AO19" s="169">
        <f t="shared" si="17"/>
        <v>51.910806799999996</v>
      </c>
      <c r="AP19" s="72">
        <f t="shared" si="18"/>
        <v>56.3304431</v>
      </c>
      <c r="AQ19" s="156">
        <f>14060855/10^7</f>
        <v>1.4060855</v>
      </c>
      <c r="AR19" s="156">
        <v>0</v>
      </c>
      <c r="AS19" s="72">
        <f t="shared" si="19"/>
        <v>57.7365286</v>
      </c>
      <c r="AT19" s="72">
        <f t="shared" si="20"/>
        <v>4.4196363</v>
      </c>
      <c r="AU19" s="72">
        <f>AP19*3.02%</f>
        <v>1.70117938162</v>
      </c>
      <c r="AV19" s="72">
        <v>0</v>
      </c>
      <c r="AW19" s="72">
        <f t="shared" si="21"/>
        <v>6.12081568162</v>
      </c>
      <c r="AX19" s="169">
        <f t="shared" si="22"/>
        <v>51.61571291838</v>
      </c>
      <c r="AY19" s="72">
        <f t="shared" si="23"/>
        <v>57.7365286</v>
      </c>
      <c r="AZ19" s="156">
        <v>3.47</v>
      </c>
      <c r="BA19" s="72">
        <f>24662040/10^7</f>
        <v>2.466204</v>
      </c>
      <c r="BB19" s="72">
        <f t="shared" si="24"/>
        <v>58.7403246</v>
      </c>
      <c r="BC19" s="72">
        <f t="shared" si="25"/>
        <v>6.12081568162</v>
      </c>
      <c r="BD19" s="72">
        <f t="shared" si="26"/>
        <v>1.0392575147999998</v>
      </c>
      <c r="BE19" s="72"/>
      <c r="BF19" s="72">
        <f t="shared" si="27"/>
        <v>7.16007319642</v>
      </c>
      <c r="BG19" s="169">
        <f t="shared" si="28"/>
        <v>51.58025140358</v>
      </c>
      <c r="BH19" s="72">
        <f t="shared" si="29"/>
        <v>58.7403246</v>
      </c>
      <c r="BI19" s="156">
        <v>1.5237825</v>
      </c>
      <c r="BJ19" s="72">
        <v>-0.0243626</v>
      </c>
      <c r="BK19" s="72">
        <f aca="true" t="shared" si="74" ref="BK19:BK25">BH19+BI19-BJ19</f>
        <v>60.28846970000001</v>
      </c>
      <c r="BL19" s="72">
        <f t="shared" si="30"/>
        <v>7.16007319642</v>
      </c>
      <c r="BM19" s="72">
        <f t="shared" si="31"/>
        <v>1.0573258427999999</v>
      </c>
      <c r="BN19" s="72"/>
      <c r="BO19" s="72">
        <f t="shared" si="32"/>
        <v>8.21739903922</v>
      </c>
      <c r="BP19" s="169">
        <f t="shared" si="33"/>
        <v>52.07107066078001</v>
      </c>
      <c r="BQ19" s="72">
        <v>60.28784650000001</v>
      </c>
      <c r="BR19" s="156">
        <v>1.8736694</v>
      </c>
      <c r="BS19" s="72">
        <v>0</v>
      </c>
      <c r="BT19" s="72">
        <f aca="true" t="shared" si="75" ref="BT19:BT25">BQ19+BR19-BS19</f>
        <v>62.161515900000005</v>
      </c>
      <c r="BU19" s="72">
        <f t="shared" si="34"/>
        <v>8.21739903922</v>
      </c>
      <c r="BV19" s="72">
        <f t="shared" si="35"/>
        <v>1.085181237</v>
      </c>
      <c r="BW19" s="72"/>
      <c r="BX19" s="72">
        <f t="shared" si="36"/>
        <v>9.30258027622</v>
      </c>
      <c r="BY19" s="169">
        <f t="shared" si="37"/>
        <v>52.858935623780006</v>
      </c>
      <c r="BZ19" s="72">
        <f aca="true" t="shared" si="76" ref="BZ19:BZ25">BT19</f>
        <v>62.161515900000005</v>
      </c>
      <c r="CA19" s="156">
        <v>0.6585803</v>
      </c>
      <c r="CB19" s="72">
        <v>-1.7594074</v>
      </c>
      <c r="CC19" s="72">
        <f aca="true" t="shared" si="77" ref="CC19:CC25">BZ19+CA19-CB19</f>
        <v>64.5795036</v>
      </c>
      <c r="CD19" s="72">
        <f t="shared" si="38"/>
        <v>9.30258027622</v>
      </c>
      <c r="CE19" s="72">
        <f t="shared" si="39"/>
        <v>1.1189072862</v>
      </c>
      <c r="CF19" s="72"/>
      <c r="CG19" s="72">
        <f t="shared" si="40"/>
        <v>10.421487562420001</v>
      </c>
      <c r="CH19" s="169">
        <f t="shared" si="41"/>
        <v>54.15801603758</v>
      </c>
      <c r="CI19" s="72">
        <f t="shared" si="42"/>
        <v>64.5795036</v>
      </c>
      <c r="CJ19" s="72">
        <v>2.0393</v>
      </c>
      <c r="CK19" s="72">
        <v>0</v>
      </c>
      <c r="CL19" s="72">
        <f aca="true" t="shared" si="78" ref="CL19:CL25">CI19+CJ19-CK19</f>
        <v>66.61880359999999</v>
      </c>
      <c r="CM19" s="72">
        <f>CG19*0+13.3354</f>
        <v>13.3354</v>
      </c>
      <c r="CN19" s="72">
        <f>CI19*$D19*0+1.058</f>
        <v>1.058</v>
      </c>
      <c r="CO19" s="72"/>
      <c r="CP19" s="72">
        <f t="shared" si="43"/>
        <v>14.3934</v>
      </c>
      <c r="CQ19" s="169">
        <f aca="true" t="shared" si="79" ref="CQ19:CQ25">CL19-CP19</f>
        <v>52.22540359999999</v>
      </c>
      <c r="CR19" s="72">
        <f aca="true" t="shared" si="80" ref="CR19:CR25">CL19</f>
        <v>66.61880359999999</v>
      </c>
      <c r="CS19" s="217">
        <v>3.51</v>
      </c>
      <c r="CT19" s="72">
        <v>0</v>
      </c>
      <c r="CU19" s="72">
        <f>CR19+CS19-CT19</f>
        <v>70.1288036</v>
      </c>
      <c r="CV19" s="72">
        <f aca="true" t="shared" si="81" ref="CV19:CV25">CP19</f>
        <v>14.3934</v>
      </c>
      <c r="CW19" s="72">
        <v>1.2</v>
      </c>
      <c r="CX19" s="72"/>
      <c r="CY19" s="72">
        <f t="shared" si="45"/>
        <v>15.593399999999999</v>
      </c>
      <c r="CZ19" s="169">
        <f aca="true" t="shared" si="82" ref="CZ19:CZ25">CU19-CY19</f>
        <v>54.535403599999995</v>
      </c>
      <c r="DA19" s="72">
        <f t="shared" si="46"/>
        <v>70.1288036</v>
      </c>
      <c r="DB19" s="156">
        <f>5004407/10^7</f>
        <v>0.5004407</v>
      </c>
      <c r="DC19" s="72">
        <v>0</v>
      </c>
      <c r="DD19" s="72">
        <f t="shared" si="47"/>
        <v>70.6292443</v>
      </c>
      <c r="DE19" s="72">
        <f t="shared" si="48"/>
        <v>15.593399999999999</v>
      </c>
      <c r="DF19" s="72">
        <f>11453822/10^7</f>
        <v>1.1453822</v>
      </c>
      <c r="DG19" s="72">
        <v>0</v>
      </c>
      <c r="DH19" s="72">
        <f>DE19+DF19-DG19</f>
        <v>16.7387822</v>
      </c>
      <c r="DI19" s="169">
        <f t="shared" si="50"/>
        <v>53.89046209999999</v>
      </c>
      <c r="DJ19" s="72">
        <f t="shared" si="51"/>
        <v>70.6292443</v>
      </c>
      <c r="DK19" s="58">
        <f>3726217/10^7</f>
        <v>0.3726217</v>
      </c>
      <c r="DL19" s="72">
        <v>0</v>
      </c>
      <c r="DM19" s="72">
        <f t="shared" si="52"/>
        <v>71.00186599999999</v>
      </c>
      <c r="DN19" s="72">
        <f t="shared" si="53"/>
        <v>16.7387822</v>
      </c>
      <c r="DO19" s="72">
        <f>11559724/10^7</f>
        <v>1.1559724</v>
      </c>
      <c r="DP19" s="306">
        <f>11264/10^7</f>
        <v>0.0011264</v>
      </c>
      <c r="DQ19" s="72">
        <f>DN19+DO19-DP19</f>
        <v>17.8936282</v>
      </c>
      <c r="DR19" s="169">
        <f t="shared" si="54"/>
        <v>53.1082378</v>
      </c>
      <c r="DS19" s="72">
        <f t="shared" si="55"/>
        <v>71.00186599999999</v>
      </c>
      <c r="DT19" s="58">
        <f>22081362/10^7</f>
        <v>2.2081362</v>
      </c>
      <c r="DU19" s="72">
        <v>0</v>
      </c>
      <c r="DV19" s="72">
        <f t="shared" si="56"/>
        <v>73.21000219999999</v>
      </c>
      <c r="DW19" s="72">
        <f t="shared" si="57"/>
        <v>17.8936282</v>
      </c>
      <c r="DX19" s="72">
        <f>11833472/10^7</f>
        <v>1.1833472</v>
      </c>
      <c r="DY19" s="72">
        <f>56853/10^7</f>
        <v>0.0056853</v>
      </c>
      <c r="DZ19" s="72">
        <f>DW19+DX19+DY19</f>
        <v>19.082660699999998</v>
      </c>
      <c r="EA19" s="169">
        <f t="shared" si="59"/>
        <v>54.12734149999999</v>
      </c>
      <c r="EB19" s="72">
        <v>78.14</v>
      </c>
      <c r="EC19" s="58">
        <v>0.5</v>
      </c>
      <c r="ED19" s="72">
        <v>0</v>
      </c>
      <c r="EE19" s="72">
        <f t="shared" si="60"/>
        <v>78.64</v>
      </c>
      <c r="EF19" s="72">
        <v>20.39</v>
      </c>
      <c r="EG19" s="72">
        <v>1.28</v>
      </c>
      <c r="EH19" s="72">
        <f>37857/10^7</f>
        <v>0.0037857</v>
      </c>
      <c r="EI19" s="72">
        <f aca="true" t="shared" si="83" ref="EI19:EI25">EF19+EG19+EH19</f>
        <v>21.673785700000003</v>
      </c>
      <c r="EJ19" s="169">
        <f t="shared" si="61"/>
        <v>56.9662143</v>
      </c>
      <c r="EK19" s="72">
        <f t="shared" si="62"/>
        <v>78.64</v>
      </c>
      <c r="EL19" s="58">
        <f aca="true" t="shared" si="84" ref="EL19:EL25">EK19/EK$27*416.57</f>
        <v>11.18392718632217</v>
      </c>
      <c r="EM19" s="72">
        <v>0</v>
      </c>
      <c r="EN19" s="72">
        <f t="shared" si="63"/>
        <v>89.82392718632217</v>
      </c>
      <c r="EO19" s="72">
        <f t="shared" si="64"/>
        <v>21.673785700000003</v>
      </c>
      <c r="EP19" s="72">
        <f t="shared" si="65"/>
        <v>2.626576</v>
      </c>
      <c r="EQ19" s="72"/>
      <c r="ER19" s="72">
        <f t="shared" si="66"/>
        <v>24.300361700000003</v>
      </c>
      <c r="ES19" s="169">
        <f t="shared" si="67"/>
        <v>65.52356548632216</v>
      </c>
      <c r="ET19" s="72">
        <f t="shared" si="68"/>
        <v>89.82392718632217</v>
      </c>
      <c r="EU19" s="58">
        <f>ET19/ET$27*444.52</f>
        <v>11.934319112907628</v>
      </c>
      <c r="EV19" s="72">
        <v>0</v>
      </c>
      <c r="EW19" s="72">
        <f t="shared" si="69"/>
        <v>101.7582462992298</v>
      </c>
      <c r="EX19" s="72">
        <f t="shared" si="70"/>
        <v>24.300361700000003</v>
      </c>
      <c r="EY19" s="72">
        <f t="shared" si="71"/>
        <v>3.0001191680231605</v>
      </c>
      <c r="EZ19" s="72"/>
      <c r="FA19" s="72">
        <f t="shared" si="72"/>
        <v>27.300480868023165</v>
      </c>
      <c r="FB19" s="169">
        <f t="shared" si="73"/>
        <v>74.45776543120664</v>
      </c>
    </row>
    <row r="20" spans="1:158" ht="26.25" customHeight="1">
      <c r="A20" s="76" t="s">
        <v>52</v>
      </c>
      <c r="B20" s="266">
        <v>0.018</v>
      </c>
      <c r="C20" s="167">
        <v>50</v>
      </c>
      <c r="D20" s="168">
        <v>0.0302</v>
      </c>
      <c r="E20" s="266">
        <v>0.0334</v>
      </c>
      <c r="F20" s="167">
        <v>50</v>
      </c>
      <c r="G20" s="72">
        <v>0</v>
      </c>
      <c r="H20" s="72">
        <v>0</v>
      </c>
      <c r="I20" s="72">
        <v>0</v>
      </c>
      <c r="J20" s="72">
        <f t="shared" si="0"/>
        <v>0</v>
      </c>
      <c r="K20" s="72">
        <f>G20*B20</f>
        <v>0</v>
      </c>
      <c r="L20" s="72"/>
      <c r="M20" s="72">
        <f t="shared" si="1"/>
        <v>0</v>
      </c>
      <c r="N20" s="72">
        <f t="shared" si="2"/>
        <v>0</v>
      </c>
      <c r="O20" s="169">
        <f t="shared" si="3"/>
        <v>0</v>
      </c>
      <c r="P20" s="72">
        <f>2751479/10^7</f>
        <v>0.2751479</v>
      </c>
      <c r="Q20" s="72">
        <v>0</v>
      </c>
      <c r="R20" s="72">
        <f t="shared" si="4"/>
        <v>0.2751479</v>
      </c>
      <c r="S20" s="72">
        <f t="shared" si="5"/>
        <v>0</v>
      </c>
      <c r="T20" s="72">
        <f>O20*$B20</f>
        <v>0</v>
      </c>
      <c r="U20" s="169"/>
      <c r="V20" s="169">
        <f t="shared" si="6"/>
        <v>0</v>
      </c>
      <c r="W20" s="169">
        <f t="shared" si="7"/>
        <v>0.2751479</v>
      </c>
      <c r="X20" s="169">
        <f t="shared" si="8"/>
        <v>0.2751479</v>
      </c>
      <c r="Y20" s="72">
        <f>-(2751479-1136447)/10^7</f>
        <v>-0.1615032</v>
      </c>
      <c r="AA20" s="72">
        <f t="shared" si="9"/>
        <v>0.11364469999999999</v>
      </c>
      <c r="AB20" s="72">
        <f t="shared" si="10"/>
        <v>0</v>
      </c>
      <c r="AC20" s="72"/>
      <c r="AD20" s="72"/>
      <c r="AE20" s="72">
        <f t="shared" si="11"/>
        <v>0</v>
      </c>
      <c r="AF20" s="169">
        <f t="shared" si="12"/>
        <v>0.11364469999999999</v>
      </c>
      <c r="AG20" s="169">
        <f t="shared" si="13"/>
        <v>0.11364469999999999</v>
      </c>
      <c r="AH20" s="72">
        <f>3530618/10^7</f>
        <v>0.3530618</v>
      </c>
      <c r="AI20" s="72">
        <f>-1004682/10^7</f>
        <v>-0.1004682</v>
      </c>
      <c r="AJ20" s="72">
        <f t="shared" si="14"/>
        <v>0.5671746999999999</v>
      </c>
      <c r="AK20" s="72">
        <f t="shared" si="15"/>
        <v>0</v>
      </c>
      <c r="AL20" s="306">
        <f>29140/10^7</f>
        <v>0.002914</v>
      </c>
      <c r="AM20" s="306">
        <f>-10488/10^7</f>
        <v>-0.0010488</v>
      </c>
      <c r="AN20" s="306">
        <f t="shared" si="16"/>
        <v>0.0039628</v>
      </c>
      <c r="AO20" s="169">
        <f t="shared" si="17"/>
        <v>0.5632118999999999</v>
      </c>
      <c r="AP20" s="72">
        <f t="shared" si="18"/>
        <v>0.5671746999999999</v>
      </c>
      <c r="AQ20" s="72">
        <f>31473086/10^7</f>
        <v>3.1473086</v>
      </c>
      <c r="AR20" s="156">
        <f>1021126/10^7</f>
        <v>0.1021126</v>
      </c>
      <c r="AS20" s="72">
        <f t="shared" si="19"/>
        <v>3.6123707</v>
      </c>
      <c r="AT20" s="72">
        <f t="shared" si="20"/>
        <v>0.0039628</v>
      </c>
      <c r="AU20" s="307">
        <f>AP20*3.02%</f>
        <v>0.017128675939999997</v>
      </c>
      <c r="AV20" s="306">
        <f>-39641/10^7</f>
        <v>-0.0039641</v>
      </c>
      <c r="AW20" s="72">
        <f t="shared" si="21"/>
        <v>0.025055575939999998</v>
      </c>
      <c r="AX20" s="169">
        <f t="shared" si="22"/>
        <v>3.58731512406</v>
      </c>
      <c r="AY20" s="72">
        <f t="shared" si="23"/>
        <v>3.6123707</v>
      </c>
      <c r="AZ20" s="156">
        <f>528839/10^7</f>
        <v>0.0528839</v>
      </c>
      <c r="BA20" s="72">
        <v>0</v>
      </c>
      <c r="BB20" s="72">
        <f t="shared" si="24"/>
        <v>3.6652546</v>
      </c>
      <c r="BC20" s="72">
        <f t="shared" si="25"/>
        <v>0.025055575939999998</v>
      </c>
      <c r="BD20" s="72">
        <f t="shared" si="26"/>
        <v>0.0650226726</v>
      </c>
      <c r="BE20" s="72"/>
      <c r="BF20" s="72">
        <f t="shared" si="27"/>
        <v>0.09007824853999999</v>
      </c>
      <c r="BG20" s="169">
        <f t="shared" si="28"/>
        <v>3.57517635146</v>
      </c>
      <c r="BH20" s="72">
        <f t="shared" si="29"/>
        <v>3.6652546</v>
      </c>
      <c r="BI20" s="156">
        <v>0.1405349</v>
      </c>
      <c r="BJ20" s="72">
        <v>-0.0125991</v>
      </c>
      <c r="BK20" s="72">
        <f t="shared" si="74"/>
        <v>3.8183886</v>
      </c>
      <c r="BL20" s="72">
        <f t="shared" si="30"/>
        <v>0.09007824853999999</v>
      </c>
      <c r="BM20" s="72">
        <f t="shared" si="31"/>
        <v>0.06597458279999999</v>
      </c>
      <c r="BN20" s="72"/>
      <c r="BO20" s="72">
        <f t="shared" si="32"/>
        <v>0.15605283133999998</v>
      </c>
      <c r="BP20" s="169">
        <f t="shared" si="33"/>
        <v>3.66233576866</v>
      </c>
      <c r="BQ20" s="72">
        <v>3.8183886</v>
      </c>
      <c r="BR20" s="156">
        <v>0.2713149</v>
      </c>
      <c r="BS20" s="72">
        <v>0</v>
      </c>
      <c r="BT20" s="72">
        <f t="shared" si="75"/>
        <v>4.0897035</v>
      </c>
      <c r="BU20" s="72">
        <f t="shared" si="34"/>
        <v>0.15605283133999998</v>
      </c>
      <c r="BV20" s="72">
        <f t="shared" si="35"/>
        <v>0.0687309948</v>
      </c>
      <c r="BW20" s="72"/>
      <c r="BX20" s="72">
        <f t="shared" si="36"/>
        <v>0.22478382613999998</v>
      </c>
      <c r="BY20" s="169">
        <f t="shared" si="37"/>
        <v>3.86491967386</v>
      </c>
      <c r="BZ20" s="72">
        <f t="shared" si="76"/>
        <v>4.0897035</v>
      </c>
      <c r="CA20" s="156">
        <v>0.0428854</v>
      </c>
      <c r="CB20" s="72">
        <v>0</v>
      </c>
      <c r="CC20" s="72">
        <f t="shared" si="77"/>
        <v>4.1325889</v>
      </c>
      <c r="CD20" s="72">
        <f t="shared" si="38"/>
        <v>0.22478382613999998</v>
      </c>
      <c r="CE20" s="72">
        <f t="shared" si="39"/>
        <v>0.07361466299999998</v>
      </c>
      <c r="CF20" s="72"/>
      <c r="CG20" s="72">
        <f t="shared" si="40"/>
        <v>0.29839848913999995</v>
      </c>
      <c r="CH20" s="169">
        <f t="shared" si="41"/>
        <v>3.8341904108600002</v>
      </c>
      <c r="CI20" s="72">
        <f t="shared" si="42"/>
        <v>4.1325889</v>
      </c>
      <c r="CJ20" s="72">
        <v>0.0135</v>
      </c>
      <c r="CK20" s="72">
        <v>0</v>
      </c>
      <c r="CL20" s="72">
        <f t="shared" si="78"/>
        <v>4.1460889</v>
      </c>
      <c r="CM20" s="72">
        <f>CG20*0+0.4769</f>
        <v>0.4769</v>
      </c>
      <c r="CN20" s="72">
        <f>CI20*$D20*0+0.138</f>
        <v>0.138</v>
      </c>
      <c r="CO20" s="72"/>
      <c r="CP20" s="72">
        <f t="shared" si="43"/>
        <v>0.6149</v>
      </c>
      <c r="CQ20" s="169">
        <f t="shared" si="79"/>
        <v>3.5311888999999996</v>
      </c>
      <c r="CR20" s="72">
        <f t="shared" si="80"/>
        <v>4.1460889</v>
      </c>
      <c r="CS20" s="217"/>
      <c r="CT20" s="72">
        <v>0</v>
      </c>
      <c r="CU20" s="72">
        <f t="shared" si="44"/>
        <v>4.1460889</v>
      </c>
      <c r="CV20" s="72">
        <f t="shared" si="81"/>
        <v>0.6149</v>
      </c>
      <c r="CW20" s="72">
        <v>0.13</v>
      </c>
      <c r="CX20" s="72"/>
      <c r="CY20" s="72">
        <f>CV20+CW20-CX20+0.01</f>
        <v>0.7549</v>
      </c>
      <c r="CZ20" s="169">
        <f t="shared" si="82"/>
        <v>3.3911888999999995</v>
      </c>
      <c r="DA20" s="72">
        <f t="shared" si="46"/>
        <v>4.1460889</v>
      </c>
      <c r="DB20" s="156">
        <f>623929/10^7</f>
        <v>0.0623929</v>
      </c>
      <c r="DC20" s="72">
        <v>0</v>
      </c>
      <c r="DD20" s="72">
        <f t="shared" si="47"/>
        <v>4.2084817999999995</v>
      </c>
      <c r="DE20" s="72">
        <f t="shared" si="48"/>
        <v>0.7549</v>
      </c>
      <c r="DF20" s="72">
        <f>1384501/10^7</f>
        <v>0.1384501</v>
      </c>
      <c r="DG20" s="72">
        <v>0</v>
      </c>
      <c r="DH20" s="72">
        <f t="shared" si="49"/>
        <v>0.8933501</v>
      </c>
      <c r="DI20" s="169">
        <f t="shared" si="50"/>
        <v>3.3151316999999993</v>
      </c>
      <c r="DJ20" s="72">
        <f t="shared" si="51"/>
        <v>4.2084817999999995</v>
      </c>
      <c r="DK20" s="58">
        <f>86105/10^7</f>
        <v>0.0086105</v>
      </c>
      <c r="DL20" s="72">
        <v>0</v>
      </c>
      <c r="DM20" s="72">
        <f t="shared" si="52"/>
        <v>4.217092299999999</v>
      </c>
      <c r="DN20" s="72">
        <f t="shared" si="53"/>
        <v>0.8933501</v>
      </c>
      <c r="DO20" s="72">
        <f>1385905/10^7</f>
        <v>0.1385905</v>
      </c>
      <c r="DP20" s="72"/>
      <c r="DQ20" s="72">
        <f>DN20+DO20-DP20</f>
        <v>1.0319406</v>
      </c>
      <c r="DR20" s="169">
        <f t="shared" si="54"/>
        <v>3.185151699999999</v>
      </c>
      <c r="DS20" s="72">
        <f t="shared" si="55"/>
        <v>4.217092299999999</v>
      </c>
      <c r="DT20" s="58">
        <v>0</v>
      </c>
      <c r="DU20" s="72">
        <v>0</v>
      </c>
      <c r="DV20" s="72">
        <f t="shared" si="56"/>
        <v>4.217092299999999</v>
      </c>
      <c r="DW20" s="72">
        <f t="shared" si="57"/>
        <v>1.0319406</v>
      </c>
      <c r="DX20" s="72">
        <f>1387365/10^7</f>
        <v>0.1387365</v>
      </c>
      <c r="DY20" s="72"/>
      <c r="DZ20" s="72">
        <f t="shared" si="58"/>
        <v>1.1706771</v>
      </c>
      <c r="EA20" s="169">
        <f t="shared" si="59"/>
        <v>3.0464151999999993</v>
      </c>
      <c r="EB20" s="72">
        <v>4.29</v>
      </c>
      <c r="EC20" s="58">
        <v>0.5</v>
      </c>
      <c r="ED20" s="72">
        <v>0</v>
      </c>
      <c r="EE20" s="72">
        <f t="shared" si="60"/>
        <v>4.79</v>
      </c>
      <c r="EF20" s="72">
        <v>1.31</v>
      </c>
      <c r="EG20" s="72">
        <v>0.16</v>
      </c>
      <c r="EH20" s="72">
        <v>0</v>
      </c>
      <c r="EI20" s="72">
        <f t="shared" si="83"/>
        <v>1.47</v>
      </c>
      <c r="EJ20" s="169">
        <f t="shared" si="61"/>
        <v>3.3200000000000003</v>
      </c>
      <c r="EK20" s="72">
        <f t="shared" si="62"/>
        <v>4.79</v>
      </c>
      <c r="EL20" s="58">
        <f t="shared" si="84"/>
        <v>0.6812183522696236</v>
      </c>
      <c r="EM20" s="72">
        <v>0</v>
      </c>
      <c r="EN20" s="72">
        <f t="shared" si="63"/>
        <v>5.471218352269624</v>
      </c>
      <c r="EO20" s="72">
        <f t="shared" si="64"/>
        <v>1.47</v>
      </c>
      <c r="EP20" s="72">
        <f t="shared" si="65"/>
        <v>0.159986</v>
      </c>
      <c r="EQ20" s="72"/>
      <c r="ER20" s="72">
        <f t="shared" si="66"/>
        <v>1.629986</v>
      </c>
      <c r="ES20" s="169">
        <f t="shared" si="67"/>
        <v>3.841232352269624</v>
      </c>
      <c r="ET20" s="72">
        <f t="shared" si="68"/>
        <v>5.471218352269624</v>
      </c>
      <c r="EU20" s="58">
        <f aca="true" t="shared" si="85" ref="EU20:EU25">ET20/ET$27*444.52</f>
        <v>0.7269250833014693</v>
      </c>
      <c r="EV20" s="72">
        <v>0</v>
      </c>
      <c r="EW20" s="72">
        <f t="shared" si="69"/>
        <v>6.198143435571093</v>
      </c>
      <c r="EX20" s="72">
        <f t="shared" si="70"/>
        <v>1.629986</v>
      </c>
      <c r="EY20" s="72">
        <f t="shared" si="71"/>
        <v>0.18273869296580542</v>
      </c>
      <c r="EZ20" s="72"/>
      <c r="FA20" s="72">
        <f t="shared" si="72"/>
        <v>1.8127246929658054</v>
      </c>
      <c r="FB20" s="169">
        <f t="shared" si="73"/>
        <v>4.385418742605287</v>
      </c>
    </row>
    <row r="21" spans="1:158" ht="26.25" customHeight="1">
      <c r="A21" s="76" t="s">
        <v>570</v>
      </c>
      <c r="B21" s="266">
        <v>0.0257</v>
      </c>
      <c r="C21" s="167">
        <v>35</v>
      </c>
      <c r="D21" s="168">
        <v>0.0784</v>
      </c>
      <c r="E21" s="266">
        <v>0.0528</v>
      </c>
      <c r="F21" s="167">
        <v>25</v>
      </c>
      <c r="G21" s="72">
        <v>0</v>
      </c>
      <c r="H21" s="72">
        <v>0</v>
      </c>
      <c r="I21" s="72">
        <v>0</v>
      </c>
      <c r="J21" s="72">
        <f t="shared" si="0"/>
        <v>0</v>
      </c>
      <c r="K21" s="72">
        <f>G21*B21</f>
        <v>0</v>
      </c>
      <c r="L21" s="72"/>
      <c r="M21" s="72">
        <f t="shared" si="1"/>
        <v>0</v>
      </c>
      <c r="N21" s="72">
        <f t="shared" si="2"/>
        <v>0</v>
      </c>
      <c r="O21" s="169">
        <f t="shared" si="3"/>
        <v>0</v>
      </c>
      <c r="P21" s="72">
        <f>896038208/10^7</f>
        <v>89.6038208</v>
      </c>
      <c r="Q21" s="72">
        <v>0</v>
      </c>
      <c r="R21" s="72">
        <f t="shared" si="4"/>
        <v>89.6038208</v>
      </c>
      <c r="S21" s="72">
        <f t="shared" si="5"/>
        <v>0</v>
      </c>
      <c r="T21" s="72">
        <f>O21*$B21</f>
        <v>0</v>
      </c>
      <c r="U21" s="169"/>
      <c r="V21" s="169">
        <f t="shared" si="6"/>
        <v>0</v>
      </c>
      <c r="W21" s="169">
        <f t="shared" si="7"/>
        <v>89.6038208</v>
      </c>
      <c r="X21" s="169">
        <f t="shared" si="8"/>
        <v>89.6038208</v>
      </c>
      <c r="Y21" s="72">
        <f>-(896038208-937285917)/10^7</f>
        <v>4.1247709</v>
      </c>
      <c r="AA21" s="72">
        <f t="shared" si="9"/>
        <v>93.7285917</v>
      </c>
      <c r="AB21" s="72">
        <f t="shared" si="10"/>
        <v>0</v>
      </c>
      <c r="AC21" s="72"/>
      <c r="AD21" s="72"/>
      <c r="AE21" s="72">
        <f t="shared" si="11"/>
        <v>0</v>
      </c>
      <c r="AF21" s="169">
        <f t="shared" si="12"/>
        <v>93.7285917</v>
      </c>
      <c r="AG21" s="169">
        <f t="shared" si="13"/>
        <v>93.7285917</v>
      </c>
      <c r="AH21" s="72">
        <f>580977744/10^7</f>
        <v>58.0977744</v>
      </c>
      <c r="AI21" s="72">
        <f>-3580179976/10^7</f>
        <v>-358.0179976</v>
      </c>
      <c r="AJ21" s="72">
        <f t="shared" si="14"/>
        <v>509.84436370000003</v>
      </c>
      <c r="AK21" s="72">
        <f t="shared" si="15"/>
        <v>0</v>
      </c>
      <c r="AL21" s="72">
        <f>365747380/10^7</f>
        <v>36.574738</v>
      </c>
      <c r="AM21" s="72">
        <f>-945237389/10^7</f>
        <v>-94.5237389</v>
      </c>
      <c r="AN21" s="72">
        <f t="shared" si="16"/>
        <v>131.0984769</v>
      </c>
      <c r="AO21" s="169">
        <f t="shared" si="17"/>
        <v>378.7458868</v>
      </c>
      <c r="AP21" s="72">
        <f t="shared" si="18"/>
        <v>509.84436370000003</v>
      </c>
      <c r="AQ21" s="72">
        <f>569348521/10^7</f>
        <v>56.9348521</v>
      </c>
      <c r="AR21" s="156">
        <f>147443237/10^7</f>
        <v>14.7443237</v>
      </c>
      <c r="AS21" s="72">
        <f t="shared" si="19"/>
        <v>552.0348921</v>
      </c>
      <c r="AT21" s="72">
        <f t="shared" si="20"/>
        <v>131.0984769</v>
      </c>
      <c r="AU21" s="72">
        <f>AP21*7.84%*0+41.83</f>
        <v>41.83</v>
      </c>
      <c r="AV21" s="72">
        <v>6.02</v>
      </c>
      <c r="AW21" s="72">
        <f t="shared" si="21"/>
        <v>166.9084769</v>
      </c>
      <c r="AX21" s="169">
        <f t="shared" si="22"/>
        <v>385.1264152</v>
      </c>
      <c r="AY21" s="72">
        <f t="shared" si="23"/>
        <v>552.0348921</v>
      </c>
      <c r="AZ21" s="156">
        <f>613443857/10^7</f>
        <v>61.3443857</v>
      </c>
      <c r="BA21" s="72">
        <v>0</v>
      </c>
      <c r="BB21" s="72">
        <f t="shared" si="24"/>
        <v>613.3792778</v>
      </c>
      <c r="BC21" s="72">
        <f t="shared" si="25"/>
        <v>166.9084769</v>
      </c>
      <c r="BD21" s="72">
        <f t="shared" si="26"/>
        <v>14.18729672697</v>
      </c>
      <c r="BE21" s="72"/>
      <c r="BF21" s="72">
        <f t="shared" si="27"/>
        <v>181.09577362697001</v>
      </c>
      <c r="BG21" s="169">
        <f t="shared" si="28"/>
        <v>432.28350417302994</v>
      </c>
      <c r="BH21" s="72">
        <f t="shared" si="29"/>
        <v>613.3792778</v>
      </c>
      <c r="BI21" s="156">
        <v>47.3050671</v>
      </c>
      <c r="BJ21" s="72">
        <v>5.1854954</v>
      </c>
      <c r="BK21" s="72">
        <f t="shared" si="74"/>
        <v>655.4988494999999</v>
      </c>
      <c r="BL21" s="72">
        <f t="shared" si="30"/>
        <v>181.09577362697001</v>
      </c>
      <c r="BM21" s="72">
        <f t="shared" si="31"/>
        <v>15.76384743946</v>
      </c>
      <c r="BN21" s="72"/>
      <c r="BO21" s="72">
        <f t="shared" si="32"/>
        <v>196.85962106643</v>
      </c>
      <c r="BP21" s="169">
        <f t="shared" si="33"/>
        <v>458.6392284335699</v>
      </c>
      <c r="BQ21" s="72">
        <v>655.2815150999999</v>
      </c>
      <c r="BR21" s="156">
        <v>44.9551118</v>
      </c>
      <c r="BS21" s="72">
        <v>1.3804966</v>
      </c>
      <c r="BT21" s="72">
        <f t="shared" si="75"/>
        <v>698.8561302999999</v>
      </c>
      <c r="BU21" s="72">
        <f t="shared" si="34"/>
        <v>196.85962106643</v>
      </c>
      <c r="BV21" s="72">
        <f t="shared" si="35"/>
        <v>16.840734938069996</v>
      </c>
      <c r="BW21" s="72"/>
      <c r="BX21" s="72">
        <f t="shared" si="36"/>
        <v>213.7003560045</v>
      </c>
      <c r="BY21" s="169">
        <f t="shared" si="37"/>
        <v>485.1557742954999</v>
      </c>
      <c r="BZ21" s="72">
        <f t="shared" si="76"/>
        <v>698.8561302999999</v>
      </c>
      <c r="CA21" s="156">
        <v>29.1527047</v>
      </c>
      <c r="CB21" s="72">
        <v>-2.1356442</v>
      </c>
      <c r="CC21" s="72">
        <f t="shared" si="77"/>
        <v>730.1444791999999</v>
      </c>
      <c r="CD21" s="72">
        <f t="shared" si="38"/>
        <v>213.7003560045</v>
      </c>
      <c r="CE21" s="72">
        <f t="shared" si="39"/>
        <v>17.960602548709996</v>
      </c>
      <c r="CF21" s="72"/>
      <c r="CG21" s="72">
        <f t="shared" si="40"/>
        <v>231.66095855321</v>
      </c>
      <c r="CH21" s="169">
        <f t="shared" si="41"/>
        <v>498.4835206467899</v>
      </c>
      <c r="CI21" s="72">
        <f t="shared" si="42"/>
        <v>730.1444791999999</v>
      </c>
      <c r="CJ21" s="72">
        <v>104.6713</v>
      </c>
      <c r="CK21" s="72">
        <v>4.6944</v>
      </c>
      <c r="CL21" s="72">
        <f t="shared" si="78"/>
        <v>830.1213791999999</v>
      </c>
      <c r="CM21" s="72">
        <f>CG21*0+364.081</f>
        <v>364.081</v>
      </c>
      <c r="CN21" s="72">
        <f>(CI21*$D21*0+56.83-13.18/2)*0+42.6973</f>
        <v>42.6973</v>
      </c>
      <c r="CO21" s="72">
        <v>2.3078</v>
      </c>
      <c r="CP21" s="72">
        <f t="shared" si="43"/>
        <v>404.4705</v>
      </c>
      <c r="CQ21" s="169">
        <f t="shared" si="79"/>
        <v>425.65087919999985</v>
      </c>
      <c r="CR21" s="72">
        <f>CL21-1.5</f>
        <v>828.6213791999999</v>
      </c>
      <c r="CS21" s="217">
        <v>84.8</v>
      </c>
      <c r="CT21" s="72">
        <v>0</v>
      </c>
      <c r="CU21" s="72">
        <f t="shared" si="44"/>
        <v>913.4213791999998</v>
      </c>
      <c r="CV21" s="72">
        <f t="shared" si="81"/>
        <v>404.4705</v>
      </c>
      <c r="CW21" s="72">
        <v>42.56</v>
      </c>
      <c r="CX21" s="72">
        <v>0</v>
      </c>
      <c r="CY21" s="72">
        <f>CV21+CW21-CX21+0.01</f>
        <v>447.0405</v>
      </c>
      <c r="CZ21" s="169">
        <f t="shared" si="82"/>
        <v>466.3808791999998</v>
      </c>
      <c r="DA21" s="72">
        <f t="shared" si="46"/>
        <v>913.4213791999998</v>
      </c>
      <c r="DB21" s="156">
        <f>1164142984/10^7</f>
        <v>116.4142984</v>
      </c>
      <c r="DC21" s="72">
        <v>0</v>
      </c>
      <c r="DD21" s="72">
        <f t="shared" si="47"/>
        <v>1029.8356775999998</v>
      </c>
      <c r="DE21" s="72">
        <f t="shared" si="48"/>
        <v>447.0405</v>
      </c>
      <c r="DF21" s="72">
        <f>486407550/10^7</f>
        <v>48.640755</v>
      </c>
      <c r="DG21" s="72">
        <f>11342677/10^7</f>
        <v>1.1342677</v>
      </c>
      <c r="DH21" s="72">
        <f t="shared" si="49"/>
        <v>494.5469873</v>
      </c>
      <c r="DI21" s="169">
        <f t="shared" si="50"/>
        <v>535.2886902999999</v>
      </c>
      <c r="DJ21" s="72">
        <f t="shared" si="51"/>
        <v>1029.8356775999998</v>
      </c>
      <c r="DK21" s="58">
        <f>662332757/10^7</f>
        <v>66.2332757</v>
      </c>
      <c r="DL21" s="72">
        <v>0</v>
      </c>
      <c r="DM21" s="72">
        <f t="shared" si="52"/>
        <v>1096.0689532999997</v>
      </c>
      <c r="DN21" s="72">
        <f t="shared" si="53"/>
        <v>494.5469873</v>
      </c>
      <c r="DO21" s="72">
        <f>477710897/10^7</f>
        <v>47.7710897</v>
      </c>
      <c r="DP21" s="306">
        <f>489278/10^7</f>
        <v>0.0489278</v>
      </c>
      <c r="DQ21" s="72">
        <f>DN21+DO21+DP21</f>
        <v>542.3670048</v>
      </c>
      <c r="DR21" s="169">
        <f t="shared" si="54"/>
        <v>553.7019484999997</v>
      </c>
      <c r="DS21" s="72">
        <f t="shared" si="55"/>
        <v>1096.0689532999997</v>
      </c>
      <c r="DT21" s="58">
        <f>776894071/10^7</f>
        <v>77.6894071</v>
      </c>
      <c r="DU21" s="72">
        <v>0</v>
      </c>
      <c r="DV21" s="72">
        <f t="shared" si="56"/>
        <v>1173.7583603999997</v>
      </c>
      <c r="DW21" s="72">
        <f t="shared" si="57"/>
        <v>542.3670048</v>
      </c>
      <c r="DX21" s="72">
        <f>426647930/10^7</f>
        <v>42.664793</v>
      </c>
      <c r="DY21" s="72">
        <f>246082/10^7</f>
        <v>0.0246082</v>
      </c>
      <c r="DZ21" s="72">
        <f>DW21+DX21+DY21</f>
        <v>585.056406</v>
      </c>
      <c r="EA21" s="169">
        <f t="shared" si="59"/>
        <v>588.7019543999996</v>
      </c>
      <c r="EB21" s="72">
        <v>1277.04</v>
      </c>
      <c r="EC21" s="58">
        <f>51.41+58.75</f>
        <v>110.16</v>
      </c>
      <c r="ED21" s="72">
        <v>0</v>
      </c>
      <c r="EE21" s="72">
        <f t="shared" si="60"/>
        <v>1387.2</v>
      </c>
      <c r="EF21" s="72">
        <v>632.96</v>
      </c>
      <c r="EG21" s="72">
        <f>48.87+0.83</f>
        <v>49.699999999999996</v>
      </c>
      <c r="EH21" s="72">
        <v>3.5</v>
      </c>
      <c r="EI21" s="72">
        <f>EF21+EG21+EH21+0.01</f>
        <v>686.1700000000001</v>
      </c>
      <c r="EJ21" s="169">
        <f t="shared" si="61"/>
        <v>701.03</v>
      </c>
      <c r="EK21" s="72">
        <f t="shared" si="62"/>
        <v>1387.2</v>
      </c>
      <c r="EL21" s="58">
        <f t="shared" si="84"/>
        <v>197.28311028568305</v>
      </c>
      <c r="EM21" s="72">
        <v>0</v>
      </c>
      <c r="EN21" s="72">
        <f t="shared" si="63"/>
        <v>1584.483110285683</v>
      </c>
      <c r="EO21" s="72">
        <f t="shared" si="64"/>
        <v>686.1700000000001</v>
      </c>
      <c r="EP21" s="72">
        <f t="shared" si="65"/>
        <v>73.24416000000001</v>
      </c>
      <c r="EQ21" s="72"/>
      <c r="ER21" s="72">
        <f t="shared" si="66"/>
        <v>759.41416</v>
      </c>
      <c r="ES21" s="169">
        <f t="shared" si="67"/>
        <v>825.0689502856831</v>
      </c>
      <c r="ET21" s="72">
        <f t="shared" si="68"/>
        <v>1584.483110285683</v>
      </c>
      <c r="EU21" s="58">
        <f t="shared" si="85"/>
        <v>210.5199322663462</v>
      </c>
      <c r="EV21" s="72">
        <v>0</v>
      </c>
      <c r="EW21" s="72">
        <f t="shared" si="69"/>
        <v>1795.0030425520292</v>
      </c>
      <c r="EX21" s="72">
        <f t="shared" si="70"/>
        <v>759.41416</v>
      </c>
      <c r="EY21" s="72">
        <f t="shared" si="71"/>
        <v>83.66070822308407</v>
      </c>
      <c r="EZ21" s="72"/>
      <c r="FA21" s="72">
        <f t="shared" si="72"/>
        <v>843.0748682230841</v>
      </c>
      <c r="FB21" s="169">
        <f t="shared" si="73"/>
        <v>951.9281743289451</v>
      </c>
    </row>
    <row r="22" spans="1:158" ht="26.25" customHeight="1">
      <c r="A22" s="76" t="s">
        <v>53</v>
      </c>
      <c r="B22" s="266">
        <v>0.0257</v>
      </c>
      <c r="C22" s="167">
        <v>35</v>
      </c>
      <c r="D22" s="168">
        <v>0.0527</v>
      </c>
      <c r="E22" s="266">
        <v>0.0528</v>
      </c>
      <c r="F22" s="167">
        <v>35</v>
      </c>
      <c r="G22" s="72">
        <f>18754267287/10^7</f>
        <v>1875.4267287</v>
      </c>
      <c r="H22" s="72">
        <f>979894688/10^7</f>
        <v>97.9894688</v>
      </c>
      <c r="I22" s="72">
        <v>0</v>
      </c>
      <c r="J22" s="72">
        <f t="shared" si="0"/>
        <v>1973.4161975</v>
      </c>
      <c r="K22" s="72">
        <f>1312175326/10^7</f>
        <v>131.2175326</v>
      </c>
      <c r="L22" s="72"/>
      <c r="M22" s="72">
        <f t="shared" si="1"/>
        <v>131.2175326</v>
      </c>
      <c r="N22" s="72">
        <f t="shared" si="2"/>
        <v>1842.1986649</v>
      </c>
      <c r="O22" s="169">
        <f t="shared" si="3"/>
        <v>1973.4161975</v>
      </c>
      <c r="P22" s="72">
        <f>(1035750449/10^7)-P21-P20</f>
        <v>13.6960762</v>
      </c>
      <c r="Q22" s="72">
        <v>0</v>
      </c>
      <c r="R22" s="72">
        <f t="shared" si="4"/>
        <v>1987.1122737</v>
      </c>
      <c r="S22" s="72">
        <f t="shared" si="5"/>
        <v>131.2175326</v>
      </c>
      <c r="T22" s="72">
        <f>1394502408/10^7</f>
        <v>139.4502408</v>
      </c>
      <c r="U22" s="169"/>
      <c r="V22" s="169">
        <f t="shared" si="6"/>
        <v>270.6677734</v>
      </c>
      <c r="W22" s="169">
        <f t="shared" si="7"/>
        <v>1716.4445003</v>
      </c>
      <c r="X22" s="169">
        <f t="shared" si="8"/>
        <v>1987.1122737</v>
      </c>
      <c r="Y22" s="169">
        <f>484143420/10^7-(Y20+Y21)</f>
        <v>44.451074299999995</v>
      </c>
      <c r="Z22" s="72">
        <f>(10261691723/10^7)</f>
        <v>1026.1691723</v>
      </c>
      <c r="AA22" s="72">
        <f t="shared" si="9"/>
        <v>1005.3941757000002</v>
      </c>
      <c r="AB22" s="72">
        <f t="shared" si="10"/>
        <v>270.6677734</v>
      </c>
      <c r="AC22" s="72">
        <f>1473115143/10^7</f>
        <v>147.3115143</v>
      </c>
      <c r="AD22" s="72">
        <f>2245018465/10^7</f>
        <v>224.5018465</v>
      </c>
      <c r="AE22" s="72">
        <f t="shared" si="11"/>
        <v>193.4774412</v>
      </c>
      <c r="AF22" s="169">
        <f t="shared" si="12"/>
        <v>811.9167345000003</v>
      </c>
      <c r="AG22" s="169">
        <f t="shared" si="13"/>
        <v>1005.3941757000002</v>
      </c>
      <c r="AH22" s="72">
        <f>394595463/10^7</f>
        <v>39.4595463</v>
      </c>
      <c r="AI22" s="72">
        <f>3539009291/10^7</f>
        <v>353.9009291</v>
      </c>
      <c r="AJ22" s="72">
        <f t="shared" si="14"/>
        <v>690.9527929000003</v>
      </c>
      <c r="AK22" s="72">
        <f t="shared" si="15"/>
        <v>193.4774412</v>
      </c>
      <c r="AL22" s="72">
        <f>343618518/10^7</f>
        <v>34.3618518</v>
      </c>
      <c r="AM22" s="72">
        <f>944006907/10^7</f>
        <v>94.4006907</v>
      </c>
      <c r="AN22" s="72">
        <f t="shared" si="16"/>
        <v>133.4386023</v>
      </c>
      <c r="AO22" s="169">
        <f t="shared" si="17"/>
        <v>557.5141906000003</v>
      </c>
      <c r="AP22" s="72">
        <f t="shared" si="18"/>
        <v>690.9527929000003</v>
      </c>
      <c r="AQ22" s="156">
        <f>718649341/10^7</f>
        <v>71.8649341</v>
      </c>
      <c r="AR22" s="156">
        <f>13165511/10^7</f>
        <v>1.3165511</v>
      </c>
      <c r="AS22" s="72">
        <f t="shared" si="19"/>
        <v>761.5011759000004</v>
      </c>
      <c r="AT22" s="72">
        <f t="shared" si="20"/>
        <v>133.4386023</v>
      </c>
      <c r="AU22" s="72">
        <f>AP22*5.27%*0+36.85</f>
        <v>36.85</v>
      </c>
      <c r="AV22" s="306">
        <f>39641/10^7</f>
        <v>0.0039641</v>
      </c>
      <c r="AW22" s="72">
        <f t="shared" si="21"/>
        <v>170.28463820000002</v>
      </c>
      <c r="AX22" s="169">
        <f t="shared" si="22"/>
        <v>591.2165377000003</v>
      </c>
      <c r="AY22" s="72">
        <f t="shared" si="23"/>
        <v>761.5011759000004</v>
      </c>
      <c r="AZ22" s="156">
        <f>202475838/10^7</f>
        <v>20.2475838</v>
      </c>
      <c r="BA22" s="72">
        <f>2173344/10^7</f>
        <v>0.2173344</v>
      </c>
      <c r="BB22" s="72">
        <f t="shared" si="24"/>
        <v>781.5314253000004</v>
      </c>
      <c r="BC22" s="72">
        <f t="shared" si="25"/>
        <v>170.28463820000002</v>
      </c>
      <c r="BD22" s="72">
        <f t="shared" si="26"/>
        <v>19.57058022063001</v>
      </c>
      <c r="BE22" s="72"/>
      <c r="BF22" s="72">
        <f t="shared" si="27"/>
        <v>189.85521842063002</v>
      </c>
      <c r="BG22" s="169">
        <f t="shared" si="28"/>
        <v>591.6762068793703</v>
      </c>
      <c r="BH22" s="72">
        <f t="shared" si="29"/>
        <v>781.5314253000004</v>
      </c>
      <c r="BI22" s="156">
        <v>89.3638272</v>
      </c>
      <c r="BJ22" s="72">
        <v>1.9405941</v>
      </c>
      <c r="BK22" s="72">
        <f t="shared" si="74"/>
        <v>868.9546584000004</v>
      </c>
      <c r="BL22" s="72">
        <f t="shared" si="30"/>
        <v>189.85521842063002</v>
      </c>
      <c r="BM22" s="72">
        <f t="shared" si="31"/>
        <v>20.08535763021001</v>
      </c>
      <c r="BN22" s="72"/>
      <c r="BO22" s="72">
        <f t="shared" si="32"/>
        <v>209.94057605084004</v>
      </c>
      <c r="BP22" s="169">
        <f t="shared" si="33"/>
        <v>659.0140823491604</v>
      </c>
      <c r="BQ22" s="72">
        <v>869.1719928000005</v>
      </c>
      <c r="BR22" s="156">
        <v>16.8348449</v>
      </c>
      <c r="BS22" s="72">
        <v>0.1305508</v>
      </c>
      <c r="BT22" s="72">
        <f t="shared" si="75"/>
        <v>885.8762869000004</v>
      </c>
      <c r="BU22" s="72">
        <f t="shared" si="34"/>
        <v>209.94057605084004</v>
      </c>
      <c r="BV22" s="72">
        <f t="shared" si="35"/>
        <v>22.33772021496001</v>
      </c>
      <c r="BW22" s="72"/>
      <c r="BX22" s="72">
        <f t="shared" si="36"/>
        <v>232.27829626580004</v>
      </c>
      <c r="BY22" s="169">
        <f t="shared" si="37"/>
        <v>653.5979906342004</v>
      </c>
      <c r="BZ22" s="72">
        <f t="shared" si="76"/>
        <v>885.8762869000004</v>
      </c>
      <c r="CA22" s="156">
        <v>39.6206929</v>
      </c>
      <c r="CB22" s="72">
        <v>2.1352094</v>
      </c>
      <c r="CC22" s="72">
        <f t="shared" si="77"/>
        <v>923.3617704000004</v>
      </c>
      <c r="CD22" s="72">
        <f t="shared" si="38"/>
        <v>232.27829626580004</v>
      </c>
      <c r="CE22" s="72">
        <f t="shared" si="39"/>
        <v>22.76702057333001</v>
      </c>
      <c r="CF22" s="72"/>
      <c r="CG22" s="72">
        <f t="shared" si="40"/>
        <v>255.04531683913004</v>
      </c>
      <c r="CH22" s="169">
        <f t="shared" si="41"/>
        <v>668.3164535608704</v>
      </c>
      <c r="CI22" s="72">
        <f t="shared" si="42"/>
        <v>923.3617704000004</v>
      </c>
      <c r="CJ22" s="72">
        <v>58.4183</v>
      </c>
      <c r="CK22" s="72">
        <v>2.5568</v>
      </c>
      <c r="CL22" s="72">
        <f t="shared" si="78"/>
        <v>979.2232704000005</v>
      </c>
      <c r="CM22" s="72">
        <f>CG22*0+350.2148</f>
        <v>350.2148</v>
      </c>
      <c r="CN22" s="72">
        <f>(CI22*$D22*0+48.81+0.12-13.18/2)*0+50.39</f>
        <v>50.39</v>
      </c>
      <c r="CO22" s="72">
        <v>0.8824</v>
      </c>
      <c r="CP22" s="72">
        <f t="shared" si="43"/>
        <v>399.7224</v>
      </c>
      <c r="CQ22" s="169">
        <f t="shared" si="79"/>
        <v>579.5008704000005</v>
      </c>
      <c r="CR22" s="72">
        <f>CL22+1.5</f>
        <v>980.7232704000005</v>
      </c>
      <c r="CS22" s="217">
        <v>55.57</v>
      </c>
      <c r="CT22" s="72">
        <v>0</v>
      </c>
      <c r="CU22" s="72">
        <f t="shared" si="44"/>
        <v>1036.2932704000004</v>
      </c>
      <c r="CV22" s="72">
        <f t="shared" si="81"/>
        <v>399.7224</v>
      </c>
      <c r="CW22" s="72">
        <v>54.2</v>
      </c>
      <c r="CX22" s="72">
        <v>0</v>
      </c>
      <c r="CY22" s="72">
        <f>CV22+CW22-CX22+0.02</f>
        <v>453.94239999999996</v>
      </c>
      <c r="CZ22" s="169">
        <f t="shared" si="82"/>
        <v>582.3508704000005</v>
      </c>
      <c r="DA22" s="72">
        <f t="shared" si="46"/>
        <v>1036.2932704000004</v>
      </c>
      <c r="DB22" s="156">
        <f>883249228/10^7</f>
        <v>88.3249228</v>
      </c>
      <c r="DC22" s="72">
        <f>'TRF-1'!E46</f>
        <v>0</v>
      </c>
      <c r="DD22" s="72">
        <f t="shared" si="47"/>
        <v>1124.6181932000004</v>
      </c>
      <c r="DE22" s="72">
        <f t="shared" si="48"/>
        <v>453.94239999999996</v>
      </c>
      <c r="DF22" s="72">
        <f>581085098/10^7</f>
        <v>58.1085098</v>
      </c>
      <c r="DG22" s="72">
        <f>-27784819/10^7</f>
        <v>-2.7784819</v>
      </c>
      <c r="DH22" s="72">
        <f t="shared" si="49"/>
        <v>514.8293917</v>
      </c>
      <c r="DI22" s="169">
        <f t="shared" si="50"/>
        <v>609.7888015000004</v>
      </c>
      <c r="DJ22" s="72">
        <f t="shared" si="51"/>
        <v>1124.6181932000004</v>
      </c>
      <c r="DK22" s="58">
        <f>752647462/10^7</f>
        <v>75.2647462</v>
      </c>
      <c r="DL22" s="72">
        <v>0</v>
      </c>
      <c r="DM22" s="72">
        <f t="shared" si="52"/>
        <v>1199.8829394000004</v>
      </c>
      <c r="DN22" s="72">
        <f t="shared" si="53"/>
        <v>514.8293917</v>
      </c>
      <c r="DO22" s="72">
        <f>603190564/10^7</f>
        <v>60.3190564</v>
      </c>
      <c r="DP22" s="306">
        <f>-988613/10^7</f>
        <v>-0.0988613</v>
      </c>
      <c r="DQ22" s="72">
        <f>DN22+DO22+DP22</f>
        <v>575.0495868</v>
      </c>
      <c r="DR22" s="169">
        <f t="shared" si="54"/>
        <v>624.8333526000004</v>
      </c>
      <c r="DS22" s="72">
        <f t="shared" si="55"/>
        <v>1199.8829394000004</v>
      </c>
      <c r="DT22" s="58">
        <f>1068539412/10^7</f>
        <v>106.8539412</v>
      </c>
      <c r="DU22" s="72">
        <v>0</v>
      </c>
      <c r="DV22" s="72">
        <f t="shared" si="56"/>
        <v>1306.7368806000004</v>
      </c>
      <c r="DW22" s="72">
        <f t="shared" si="57"/>
        <v>575.0495868</v>
      </c>
      <c r="DX22" s="72">
        <f>636125657/10^7</f>
        <v>63.6125657</v>
      </c>
      <c r="DY22" s="72">
        <f>1565485/10^7</f>
        <v>0.1565485</v>
      </c>
      <c r="DZ22" s="72">
        <f>DW22+DX22+DY22</f>
        <v>638.818701</v>
      </c>
      <c r="EA22" s="169">
        <f t="shared" si="59"/>
        <v>667.9181796000004</v>
      </c>
      <c r="EB22" s="72">
        <v>1385.98</v>
      </c>
      <c r="EC22" s="58">
        <v>19.94</v>
      </c>
      <c r="ED22" s="72">
        <v>0</v>
      </c>
      <c r="EE22" s="72">
        <f t="shared" si="60"/>
        <v>1405.92</v>
      </c>
      <c r="EF22" s="72">
        <v>711.07</v>
      </c>
      <c r="EG22" s="72">
        <v>72.63</v>
      </c>
      <c r="EH22" s="72">
        <v>-0.06</v>
      </c>
      <c r="EI22" s="72">
        <f>EF22+EG22+EH22</f>
        <v>783.6400000000001</v>
      </c>
      <c r="EJ22" s="169">
        <f t="shared" si="61"/>
        <v>622.28</v>
      </c>
      <c r="EK22" s="72">
        <f t="shared" si="62"/>
        <v>1405.92</v>
      </c>
      <c r="EL22" s="58">
        <f t="shared" si="84"/>
        <v>199.94540831375974</v>
      </c>
      <c r="EM22" s="72">
        <v>0</v>
      </c>
      <c r="EN22" s="72">
        <f t="shared" si="63"/>
        <v>1605.8654083137599</v>
      </c>
      <c r="EO22" s="72">
        <f t="shared" si="64"/>
        <v>783.6400000000001</v>
      </c>
      <c r="EP22" s="72">
        <f t="shared" si="65"/>
        <v>74.23257600000001</v>
      </c>
      <c r="EQ22" s="72"/>
      <c r="ER22" s="72">
        <f t="shared" si="66"/>
        <v>857.8725760000001</v>
      </c>
      <c r="ES22" s="169">
        <f t="shared" si="67"/>
        <v>747.9928323137598</v>
      </c>
      <c r="ET22" s="72">
        <f t="shared" si="68"/>
        <v>1605.8654083137599</v>
      </c>
      <c r="EU22" s="58">
        <f t="shared" si="85"/>
        <v>213.3608586879336</v>
      </c>
      <c r="EV22" s="72">
        <v>0</v>
      </c>
      <c r="EW22" s="72">
        <f t="shared" si="69"/>
        <v>1819.2262670016935</v>
      </c>
      <c r="EX22" s="72">
        <f t="shared" si="70"/>
        <v>857.8725760000001</v>
      </c>
      <c r="EY22" s="72">
        <f t="shared" si="71"/>
        <v>84.78969355896652</v>
      </c>
      <c r="EZ22" s="72"/>
      <c r="FA22" s="72">
        <f t="shared" si="72"/>
        <v>942.6622695589666</v>
      </c>
      <c r="FB22" s="169">
        <f t="shared" si="73"/>
        <v>876.5639974427269</v>
      </c>
    </row>
    <row r="23" spans="1:158" ht="26.25" customHeight="1">
      <c r="A23" s="79" t="s">
        <v>571</v>
      </c>
      <c r="B23" s="266">
        <v>0.1286</v>
      </c>
      <c r="C23" s="167">
        <v>7</v>
      </c>
      <c r="D23" s="168">
        <v>0.334</v>
      </c>
      <c r="E23" s="168">
        <v>0.095</v>
      </c>
      <c r="F23" s="167">
        <v>5</v>
      </c>
      <c r="G23" s="72">
        <f>620027/10^7</f>
        <v>0.0620027</v>
      </c>
      <c r="H23" s="72">
        <f>69794/10^7</f>
        <v>0.0069794</v>
      </c>
      <c r="I23" s="72">
        <v>0</v>
      </c>
      <c r="J23" s="72">
        <f t="shared" si="0"/>
        <v>0.0689821</v>
      </c>
      <c r="K23" s="72">
        <f>207089/10^7</f>
        <v>0.0207089</v>
      </c>
      <c r="L23" s="72"/>
      <c r="M23" s="72">
        <f t="shared" si="1"/>
        <v>0.0207089</v>
      </c>
      <c r="N23" s="72">
        <f t="shared" si="2"/>
        <v>0.0482732</v>
      </c>
      <c r="O23" s="169">
        <f t="shared" si="3"/>
        <v>0.0689821</v>
      </c>
      <c r="P23" s="72">
        <f>2634154/10^7</f>
        <v>0.2634154</v>
      </c>
      <c r="Q23" s="72">
        <v>0</v>
      </c>
      <c r="R23" s="72">
        <f t="shared" si="4"/>
        <v>0.3323975</v>
      </c>
      <c r="S23" s="72">
        <f t="shared" si="5"/>
        <v>0.0207089</v>
      </c>
      <c r="T23" s="72">
        <f>230265/10^7</f>
        <v>0.0230265</v>
      </c>
      <c r="U23" s="169"/>
      <c r="V23" s="169">
        <f t="shared" si="6"/>
        <v>0.043735399999999994</v>
      </c>
      <c r="W23" s="169">
        <f t="shared" si="7"/>
        <v>0.28866210000000003</v>
      </c>
      <c r="X23" s="169">
        <f t="shared" si="8"/>
        <v>0.3323975</v>
      </c>
      <c r="Y23" s="169">
        <f>2092304/10^7</f>
        <v>0.2092304</v>
      </c>
      <c r="Z23" s="72">
        <f>1166249/10^7</f>
        <v>0.1166249</v>
      </c>
      <c r="AA23" s="72">
        <f t="shared" si="9"/>
        <v>0.425003</v>
      </c>
      <c r="AB23" s="72">
        <f t="shared" si="10"/>
        <v>0.043735399999999994</v>
      </c>
      <c r="AC23" s="72">
        <f>1046568/10^7</f>
        <v>0.1046568</v>
      </c>
      <c r="AD23" s="72">
        <f>94128/10^7</f>
        <v>0.0094128</v>
      </c>
      <c r="AE23" s="72">
        <f t="shared" si="11"/>
        <v>0.13897939999999998</v>
      </c>
      <c r="AF23" s="169">
        <f t="shared" si="12"/>
        <v>0.28602360000000004</v>
      </c>
      <c r="AG23" s="169">
        <f t="shared" si="13"/>
        <v>0.425003</v>
      </c>
      <c r="AH23" s="72">
        <f>28994692/10^7</f>
        <v>2.8994692</v>
      </c>
      <c r="AI23" s="72">
        <f>-3960272/10^7</f>
        <v>-0.3960272</v>
      </c>
      <c r="AJ23" s="72">
        <f t="shared" si="14"/>
        <v>3.7204993999999996</v>
      </c>
      <c r="AK23" s="72">
        <f t="shared" si="15"/>
        <v>0.13897939999999998</v>
      </c>
      <c r="AL23" s="72">
        <f>2547360/10^7</f>
        <v>0.254736</v>
      </c>
      <c r="AM23" s="72">
        <f>-1372034/10^7</f>
        <v>-0.1372034</v>
      </c>
      <c r="AN23" s="72">
        <f t="shared" si="16"/>
        <v>0.5309188</v>
      </c>
      <c r="AO23" s="169">
        <f t="shared" si="17"/>
        <v>3.1895805999999993</v>
      </c>
      <c r="AP23" s="72">
        <f t="shared" si="18"/>
        <v>3.7204993999999996</v>
      </c>
      <c r="AQ23" s="156">
        <f>111687/10^7</f>
        <v>0.0111687</v>
      </c>
      <c r="AR23" s="156">
        <f>24624488/10^7</f>
        <v>2.4624488</v>
      </c>
      <c r="AS23" s="72">
        <f t="shared" si="19"/>
        <v>1.2692192999999992</v>
      </c>
      <c r="AT23" s="72">
        <f t="shared" si="20"/>
        <v>0.5309188</v>
      </c>
      <c r="AU23" s="72">
        <f>AP23*33.4%*0+0.33</f>
        <v>0.33</v>
      </c>
      <c r="AV23" s="72"/>
      <c r="AW23" s="72">
        <f t="shared" si="21"/>
        <v>0.8609188000000001</v>
      </c>
      <c r="AX23" s="169">
        <f t="shared" si="22"/>
        <v>0.40830049999999907</v>
      </c>
      <c r="AY23" s="72">
        <f t="shared" si="23"/>
        <v>1.2692192999999992</v>
      </c>
      <c r="AZ23" s="156">
        <v>0</v>
      </c>
      <c r="BA23" s="72">
        <v>0</v>
      </c>
      <c r="BB23" s="72">
        <f t="shared" si="24"/>
        <v>1.2692192999999992</v>
      </c>
      <c r="BC23" s="72">
        <f t="shared" si="25"/>
        <v>0.8609188000000001</v>
      </c>
      <c r="BD23" s="72">
        <f t="shared" si="26"/>
        <v>0.16322160197999988</v>
      </c>
      <c r="BE23" s="72"/>
      <c r="BF23" s="72">
        <f t="shared" si="27"/>
        <v>1.02414040198</v>
      </c>
      <c r="BG23" s="169">
        <f t="shared" si="28"/>
        <v>0.24507889801999916</v>
      </c>
      <c r="BH23" s="72">
        <f t="shared" si="29"/>
        <v>1.2692192999999992</v>
      </c>
      <c r="BI23" s="156">
        <v>0</v>
      </c>
      <c r="BJ23" s="72">
        <v>0.0350387</v>
      </c>
      <c r="BK23" s="72">
        <f t="shared" si="74"/>
        <v>1.234180599999999</v>
      </c>
      <c r="BL23" s="72">
        <f t="shared" si="30"/>
        <v>1.02414040198</v>
      </c>
      <c r="BM23" s="72">
        <f t="shared" si="31"/>
        <v>0.16322160197999988</v>
      </c>
      <c r="BN23" s="72"/>
      <c r="BO23" s="72">
        <f t="shared" si="32"/>
        <v>1.18736200396</v>
      </c>
      <c r="BP23" s="169">
        <f t="shared" si="33"/>
        <v>0.04681859603999916</v>
      </c>
      <c r="BQ23" s="72">
        <v>1.2341805999999993</v>
      </c>
      <c r="BR23" s="156">
        <v>0</v>
      </c>
      <c r="BS23" s="72">
        <v>0.0015541</v>
      </c>
      <c r="BT23" s="72">
        <f t="shared" si="75"/>
        <v>1.2326264999999994</v>
      </c>
      <c r="BU23" s="72">
        <f t="shared" si="34"/>
        <v>1.18736200396</v>
      </c>
      <c r="BV23" s="72">
        <f t="shared" si="35"/>
        <v>0.1587156251599999</v>
      </c>
      <c r="BW23" s="72"/>
      <c r="BX23" s="72">
        <f t="shared" si="36"/>
        <v>1.3460776291199998</v>
      </c>
      <c r="BY23" s="169">
        <f t="shared" si="37"/>
        <v>-0.11345112912000044</v>
      </c>
      <c r="BZ23" s="72">
        <f t="shared" si="76"/>
        <v>1.2326264999999994</v>
      </c>
      <c r="CA23" s="156">
        <v>0</v>
      </c>
      <c r="CB23" s="72">
        <v>-0.0015541</v>
      </c>
      <c r="CC23" s="72">
        <f t="shared" si="77"/>
        <v>1.2341805999999993</v>
      </c>
      <c r="CD23" s="72">
        <f t="shared" si="38"/>
        <v>1.3460776291199998</v>
      </c>
      <c r="CE23" s="72">
        <f t="shared" si="39"/>
        <v>0.1585157678999999</v>
      </c>
      <c r="CF23" s="72"/>
      <c r="CG23" s="72">
        <f t="shared" si="40"/>
        <v>1.5045933970199998</v>
      </c>
      <c r="CH23" s="169">
        <f t="shared" si="41"/>
        <v>-0.27041279702000054</v>
      </c>
      <c r="CI23" s="72">
        <f t="shared" si="42"/>
        <v>1.2341805999999993</v>
      </c>
      <c r="CJ23" s="72">
        <v>0.0387</v>
      </c>
      <c r="CK23" s="72">
        <v>0.0017</v>
      </c>
      <c r="CL23" s="72">
        <f t="shared" si="78"/>
        <v>1.2711805999999992</v>
      </c>
      <c r="CM23" s="72">
        <f>CG23*0+1.077</f>
        <v>1.077</v>
      </c>
      <c r="CN23" s="72">
        <f>(CI23*$D23)*0+0.0549</f>
        <v>0.0549</v>
      </c>
      <c r="CO23" s="72">
        <v>0.0015</v>
      </c>
      <c r="CP23" s="72">
        <f t="shared" si="43"/>
        <v>1.1303999999999998</v>
      </c>
      <c r="CQ23" s="169">
        <f t="shared" si="79"/>
        <v>0.14078059999999937</v>
      </c>
      <c r="CR23" s="72">
        <f t="shared" si="80"/>
        <v>1.2711805999999992</v>
      </c>
      <c r="CS23" s="217">
        <v>0.0012</v>
      </c>
      <c r="CT23" s="72">
        <v>0</v>
      </c>
      <c r="CU23" s="72">
        <f t="shared" si="44"/>
        <v>1.2723805999999993</v>
      </c>
      <c r="CV23" s="72">
        <f t="shared" si="81"/>
        <v>1.1303999999999998</v>
      </c>
      <c r="CW23" s="72">
        <v>0.03</v>
      </c>
      <c r="CX23" s="72"/>
      <c r="CY23" s="72">
        <f t="shared" si="45"/>
        <v>1.1603999999999999</v>
      </c>
      <c r="CZ23" s="169">
        <f t="shared" si="82"/>
        <v>0.11198059999999943</v>
      </c>
      <c r="DA23" s="72">
        <f t="shared" si="46"/>
        <v>1.2723805999999993</v>
      </c>
      <c r="DB23" s="156">
        <f>1168568/10^7</f>
        <v>0.1168568</v>
      </c>
      <c r="DC23" s="72">
        <v>0</v>
      </c>
      <c r="DD23" s="72">
        <f t="shared" si="47"/>
        <v>1.3892373999999994</v>
      </c>
      <c r="DE23" s="72">
        <f t="shared" si="48"/>
        <v>1.1603999999999999</v>
      </c>
      <c r="DF23" s="72">
        <f>67797/10^7</f>
        <v>0.0067797</v>
      </c>
      <c r="DG23" s="72">
        <f>469014/10^7</f>
        <v>0.0469014</v>
      </c>
      <c r="DH23" s="72">
        <f t="shared" si="49"/>
        <v>1.1202782999999998</v>
      </c>
      <c r="DI23" s="308">
        <f t="shared" si="50"/>
        <v>0.26895909999999956</v>
      </c>
      <c r="DJ23" s="72">
        <f t="shared" si="51"/>
        <v>1.3892373999999994</v>
      </c>
      <c r="DK23" s="58">
        <f>444960/10^7</f>
        <v>0.044496</v>
      </c>
      <c r="DL23" s="72">
        <v>0</v>
      </c>
      <c r="DM23" s="72">
        <f t="shared" si="52"/>
        <v>1.4337333999999995</v>
      </c>
      <c r="DN23" s="72">
        <f t="shared" si="53"/>
        <v>1.1202782999999998</v>
      </c>
      <c r="DO23" s="72">
        <f>193096/10^7</f>
        <v>0.0193096</v>
      </c>
      <c r="DP23" s="306">
        <f>-287675/10^7</f>
        <v>-0.0287675</v>
      </c>
      <c r="DQ23" s="72">
        <f>DN23+DO23+DP23</f>
        <v>1.1108203999999997</v>
      </c>
      <c r="DR23" s="169">
        <f t="shared" si="54"/>
        <v>0.3229129999999998</v>
      </c>
      <c r="DS23" s="72">
        <f t="shared" si="55"/>
        <v>1.4337333999999995</v>
      </c>
      <c r="DT23" s="58">
        <f>5250/10^7</f>
        <v>0.000525</v>
      </c>
      <c r="DU23" s="72">
        <v>0</v>
      </c>
      <c r="DV23" s="72">
        <f t="shared" si="56"/>
        <v>1.4342583999999996</v>
      </c>
      <c r="DW23" s="72">
        <f t="shared" si="57"/>
        <v>1.1108203999999997</v>
      </c>
      <c r="DX23" s="72">
        <f>197231/10^7</f>
        <v>0.0197231</v>
      </c>
      <c r="DY23" s="72"/>
      <c r="DZ23" s="72">
        <f t="shared" si="58"/>
        <v>1.1305434999999997</v>
      </c>
      <c r="EA23" s="169">
        <f t="shared" si="59"/>
        <v>0.3037148999999999</v>
      </c>
      <c r="EB23" s="72">
        <v>1.5</v>
      </c>
      <c r="EC23" s="58">
        <v>0</v>
      </c>
      <c r="ED23" s="72">
        <v>0</v>
      </c>
      <c r="EE23" s="72">
        <f t="shared" si="60"/>
        <v>1.5</v>
      </c>
      <c r="EF23" s="72">
        <v>1.15</v>
      </c>
      <c r="EG23" s="72">
        <v>0.03</v>
      </c>
      <c r="EH23" s="72">
        <v>0</v>
      </c>
      <c r="EI23" s="72">
        <f t="shared" si="83"/>
        <v>1.18</v>
      </c>
      <c r="EJ23" s="169">
        <f t="shared" si="61"/>
        <v>0.32000000000000006</v>
      </c>
      <c r="EK23" s="72">
        <f t="shared" si="62"/>
        <v>1.5</v>
      </c>
      <c r="EL23" s="58">
        <f t="shared" si="84"/>
        <v>0.21332516250614517</v>
      </c>
      <c r="EM23" s="72">
        <v>0</v>
      </c>
      <c r="EN23" s="72">
        <f t="shared" si="63"/>
        <v>1.7133251625061452</v>
      </c>
      <c r="EO23" s="72">
        <f t="shared" si="64"/>
        <v>1.18</v>
      </c>
      <c r="EP23" s="72">
        <f t="shared" si="65"/>
        <v>0.14250000000000002</v>
      </c>
      <c r="EQ23" s="72"/>
      <c r="ER23" s="72">
        <f t="shared" si="66"/>
        <v>1.3225</v>
      </c>
      <c r="ES23" s="169">
        <f t="shared" si="67"/>
        <v>0.3908251625061452</v>
      </c>
      <c r="ET23" s="72">
        <f t="shared" si="68"/>
        <v>1.7133251625061452</v>
      </c>
      <c r="EU23" s="58">
        <f t="shared" si="85"/>
        <v>0.22763833506309064</v>
      </c>
      <c r="EV23" s="72">
        <v>0</v>
      </c>
      <c r="EW23" s="72">
        <f t="shared" si="69"/>
        <v>1.9409634975692358</v>
      </c>
      <c r="EX23" s="72">
        <f t="shared" si="70"/>
        <v>1.3225</v>
      </c>
      <c r="EY23" s="72">
        <f t="shared" si="71"/>
        <v>0.1627658904380838</v>
      </c>
      <c r="EZ23" s="72"/>
      <c r="FA23" s="72">
        <f t="shared" si="72"/>
        <v>1.4852658904380838</v>
      </c>
      <c r="FB23" s="169">
        <f t="shared" si="73"/>
        <v>0.45569760713115204</v>
      </c>
    </row>
    <row r="24" spans="1:158" ht="26.25" customHeight="1">
      <c r="A24" s="79" t="s">
        <v>572</v>
      </c>
      <c r="B24" s="266">
        <v>0.0455</v>
      </c>
      <c r="C24" s="167">
        <v>20</v>
      </c>
      <c r="D24" s="168">
        <v>0.1277</v>
      </c>
      <c r="E24" s="168">
        <v>0.0633</v>
      </c>
      <c r="F24" s="167">
        <v>15</v>
      </c>
      <c r="G24" s="72">
        <f>7309266/10^7</f>
        <v>0.7309266</v>
      </c>
      <c r="H24" s="72">
        <f>5433131/10^7</f>
        <v>0.5433131</v>
      </c>
      <c r="I24" s="72">
        <v>0</v>
      </c>
      <c r="J24" s="72">
        <f t="shared" si="0"/>
        <v>1.2742396999999999</v>
      </c>
      <c r="K24" s="72">
        <f>933393/10^7</f>
        <v>0.0933393</v>
      </c>
      <c r="L24" s="72"/>
      <c r="M24" s="72">
        <f t="shared" si="1"/>
        <v>0.0933393</v>
      </c>
      <c r="N24" s="72">
        <f t="shared" si="2"/>
        <v>1.1809003999999999</v>
      </c>
      <c r="O24" s="169">
        <f t="shared" si="3"/>
        <v>1.2742396999999999</v>
      </c>
      <c r="P24" s="72">
        <f>3125630/10^7</f>
        <v>0.312563</v>
      </c>
      <c r="Q24" s="72">
        <v>0</v>
      </c>
      <c r="R24" s="72">
        <f t="shared" si="4"/>
        <v>1.5868026999999998</v>
      </c>
      <c r="S24" s="72">
        <f t="shared" si="5"/>
        <v>0.0933393</v>
      </c>
      <c r="T24" s="72">
        <f>1627204/10^7</f>
        <v>0.1627204</v>
      </c>
      <c r="U24" s="169"/>
      <c r="V24" s="169">
        <f t="shared" si="6"/>
        <v>0.2560597</v>
      </c>
      <c r="W24" s="169">
        <f t="shared" si="7"/>
        <v>1.3307429999999998</v>
      </c>
      <c r="X24" s="169">
        <f t="shared" si="8"/>
        <v>1.5868026999999998</v>
      </c>
      <c r="Y24" s="169">
        <f>2678832/10^7</f>
        <v>0.2678832</v>
      </c>
      <c r="Z24" s="72">
        <f>6030763/10^7</f>
        <v>0.6030763</v>
      </c>
      <c r="AA24" s="72">
        <f t="shared" si="9"/>
        <v>1.2516095999999997</v>
      </c>
      <c r="AB24" s="72">
        <f t="shared" si="10"/>
        <v>0.2560597</v>
      </c>
      <c r="AC24" s="72">
        <f>2026347/10^7</f>
        <v>0.2026347</v>
      </c>
      <c r="AD24" s="72">
        <f>2275590/10^7</f>
        <v>0.227559</v>
      </c>
      <c r="AE24" s="72">
        <f t="shared" si="11"/>
        <v>0.2311354</v>
      </c>
      <c r="AF24" s="169">
        <f t="shared" si="12"/>
        <v>1.0204741999999998</v>
      </c>
      <c r="AG24" s="169">
        <f t="shared" si="13"/>
        <v>1.2516095999999997</v>
      </c>
      <c r="AH24" s="72">
        <f>694475/10^7</f>
        <v>0.0694475</v>
      </c>
      <c r="AI24" s="72">
        <f>-62179/10^7</f>
        <v>-0.0062179</v>
      </c>
      <c r="AJ24" s="72">
        <f t="shared" si="14"/>
        <v>1.3272749999999995</v>
      </c>
      <c r="AK24" s="72">
        <f t="shared" si="15"/>
        <v>0.2311354</v>
      </c>
      <c r="AL24" s="72">
        <f>1604213/10^7</f>
        <v>0.1604213</v>
      </c>
      <c r="AM24" s="72">
        <f>-137461/10^7</f>
        <v>-0.0137461</v>
      </c>
      <c r="AN24" s="72">
        <f t="shared" si="16"/>
        <v>0.40530279999999996</v>
      </c>
      <c r="AO24" s="169">
        <f t="shared" si="17"/>
        <v>0.9219721999999996</v>
      </c>
      <c r="AP24" s="72">
        <f t="shared" si="18"/>
        <v>1.3272749999999995</v>
      </c>
      <c r="AQ24" s="156">
        <f>540535/10^7</f>
        <v>0.0540535</v>
      </c>
      <c r="AR24" s="156">
        <f>18393/10^7</f>
        <v>0.0018393</v>
      </c>
      <c r="AS24" s="72">
        <f t="shared" si="19"/>
        <v>1.3794891999999994</v>
      </c>
      <c r="AT24" s="72">
        <f t="shared" si="20"/>
        <v>0.40530279999999996</v>
      </c>
      <c r="AU24" s="72">
        <f>AP24*12.77%</f>
        <v>0.16949301749999995</v>
      </c>
      <c r="AV24" s="306">
        <f>11744/10^7</f>
        <v>0.0011744</v>
      </c>
      <c r="AW24" s="72">
        <f t="shared" si="21"/>
        <v>0.5736214174999998</v>
      </c>
      <c r="AX24" s="169">
        <f t="shared" si="22"/>
        <v>0.8058677824999996</v>
      </c>
      <c r="AY24" s="72">
        <f t="shared" si="23"/>
        <v>1.3794891999999994</v>
      </c>
      <c r="AZ24" s="156">
        <f>654464/10^7</f>
        <v>0.0654464</v>
      </c>
      <c r="BA24" s="72">
        <v>0</v>
      </c>
      <c r="BB24" s="72">
        <f t="shared" si="24"/>
        <v>1.4449355999999993</v>
      </c>
      <c r="BC24" s="72">
        <f t="shared" si="25"/>
        <v>0.5736214174999998</v>
      </c>
      <c r="BD24" s="72">
        <f>AY24*$B24</f>
        <v>0.06276675859999997</v>
      </c>
      <c r="BE24" s="72"/>
      <c r="BF24" s="72">
        <f t="shared" si="27"/>
        <v>0.6363881760999999</v>
      </c>
      <c r="BG24" s="169">
        <f t="shared" si="28"/>
        <v>0.8085474238999995</v>
      </c>
      <c r="BH24" s="72">
        <f t="shared" si="29"/>
        <v>1.4449355999999993</v>
      </c>
      <c r="BI24" s="156">
        <v>0.0321122</v>
      </c>
      <c r="BJ24" s="72">
        <v>-0.0028274</v>
      </c>
      <c r="BK24" s="72">
        <f t="shared" si="74"/>
        <v>1.4798751999999993</v>
      </c>
      <c r="BL24" s="72">
        <f t="shared" si="30"/>
        <v>0.6363881760999999</v>
      </c>
      <c r="BM24" s="72">
        <f t="shared" si="31"/>
        <v>0.06574456979999997</v>
      </c>
      <c r="BN24" s="72"/>
      <c r="BO24" s="72">
        <f t="shared" si="32"/>
        <v>0.7021327458999999</v>
      </c>
      <c r="BP24" s="169">
        <f t="shared" si="33"/>
        <v>0.7777424540999994</v>
      </c>
      <c r="BQ24" s="72">
        <v>1.4798751999999993</v>
      </c>
      <c r="BR24" s="156">
        <v>0.0467878</v>
      </c>
      <c r="BS24" s="72">
        <v>0</v>
      </c>
      <c r="BT24" s="72">
        <f t="shared" si="75"/>
        <v>1.5266629999999992</v>
      </c>
      <c r="BU24" s="72">
        <f t="shared" si="34"/>
        <v>0.7021327458999999</v>
      </c>
      <c r="BV24" s="72">
        <f t="shared" si="35"/>
        <v>0.06733432159999997</v>
      </c>
      <c r="BW24" s="72"/>
      <c r="BX24" s="72">
        <f t="shared" si="36"/>
        <v>0.7694670674999998</v>
      </c>
      <c r="BY24" s="169">
        <f t="shared" si="37"/>
        <v>0.7571959324999994</v>
      </c>
      <c r="BZ24" s="72">
        <f t="shared" si="76"/>
        <v>1.5266629999999992</v>
      </c>
      <c r="CA24" s="156">
        <v>0.1487853</v>
      </c>
      <c r="CB24" s="72">
        <v>0.0012001</v>
      </c>
      <c r="CC24" s="72">
        <f t="shared" si="77"/>
        <v>1.6742481999999994</v>
      </c>
      <c r="CD24" s="72">
        <f t="shared" si="38"/>
        <v>0.7694670674999998</v>
      </c>
      <c r="CE24" s="72">
        <f t="shared" si="39"/>
        <v>0.06946316649999996</v>
      </c>
      <c r="CF24" s="72"/>
      <c r="CG24" s="72">
        <f t="shared" si="40"/>
        <v>0.8389302339999998</v>
      </c>
      <c r="CH24" s="169">
        <f t="shared" si="41"/>
        <v>0.8353179659999996</v>
      </c>
      <c r="CI24" s="72">
        <f t="shared" si="42"/>
        <v>1.6742481999999994</v>
      </c>
      <c r="CJ24" s="72">
        <v>0.1621</v>
      </c>
      <c r="CK24" s="72">
        <v>0</v>
      </c>
      <c r="CL24" s="72">
        <f t="shared" si="78"/>
        <v>1.8363481999999993</v>
      </c>
      <c r="CM24" s="72">
        <f>CG24*0+1.238</f>
        <v>1.238</v>
      </c>
      <c r="CN24" s="72">
        <f>(CI24*$D24)*0+0.075</f>
        <v>0.075</v>
      </c>
      <c r="CO24" s="72"/>
      <c r="CP24" s="72">
        <f t="shared" si="43"/>
        <v>1.313</v>
      </c>
      <c r="CQ24" s="169">
        <f t="shared" si="79"/>
        <v>0.5233481999999994</v>
      </c>
      <c r="CR24" s="72">
        <f t="shared" si="80"/>
        <v>1.8363481999999993</v>
      </c>
      <c r="CS24" s="217">
        <v>0.04</v>
      </c>
      <c r="CT24" s="72">
        <v>0</v>
      </c>
      <c r="CU24" s="72">
        <f t="shared" si="44"/>
        <v>1.8763481999999994</v>
      </c>
      <c r="CV24" s="72">
        <f t="shared" si="81"/>
        <v>1.313</v>
      </c>
      <c r="CW24" s="72">
        <v>0.06</v>
      </c>
      <c r="CX24" s="72"/>
      <c r="CY24" s="72">
        <f t="shared" si="45"/>
        <v>1.373</v>
      </c>
      <c r="CZ24" s="169">
        <f t="shared" si="82"/>
        <v>0.5033481999999994</v>
      </c>
      <c r="DA24" s="72">
        <f t="shared" si="46"/>
        <v>1.8763481999999994</v>
      </c>
      <c r="DB24" s="156">
        <f>835256/10^7</f>
        <v>0.0835256</v>
      </c>
      <c r="DC24" s="72">
        <v>0</v>
      </c>
      <c r="DD24" s="72">
        <f t="shared" si="47"/>
        <v>1.9598737999999993</v>
      </c>
      <c r="DE24" s="72">
        <f t="shared" si="48"/>
        <v>1.373</v>
      </c>
      <c r="DF24" s="72">
        <f>534806/10^7</f>
        <v>0.0534806</v>
      </c>
      <c r="DG24" s="72">
        <f>329431/10^7</f>
        <v>0.0329431</v>
      </c>
      <c r="DH24" s="72">
        <f t="shared" si="49"/>
        <v>1.3935375</v>
      </c>
      <c r="DI24" s="169">
        <f t="shared" si="50"/>
        <v>0.5663362999999992</v>
      </c>
      <c r="DJ24" s="72">
        <f t="shared" si="51"/>
        <v>1.9598737999999993</v>
      </c>
      <c r="DK24" s="58">
        <f>978528/10^7</f>
        <v>0.0978528</v>
      </c>
      <c r="DL24" s="72">
        <v>0</v>
      </c>
      <c r="DM24" s="72">
        <f t="shared" si="52"/>
        <v>2.057726599999999</v>
      </c>
      <c r="DN24" s="72">
        <f t="shared" si="53"/>
        <v>1.3935375</v>
      </c>
      <c r="DO24" s="72">
        <f>465708/10^7</f>
        <v>0.0465708</v>
      </c>
      <c r="DP24" s="306">
        <f>-25682/10^7</f>
        <v>-0.0025682</v>
      </c>
      <c r="DQ24" s="72">
        <f>DN24+DO24+DP24</f>
        <v>1.4375401</v>
      </c>
      <c r="DR24" s="169">
        <f t="shared" si="54"/>
        <v>0.6201864999999991</v>
      </c>
      <c r="DS24" s="72">
        <f t="shared" si="55"/>
        <v>2.057726599999999</v>
      </c>
      <c r="DT24" s="58">
        <f>1765534/10^7</f>
        <v>0.1765534</v>
      </c>
      <c r="DU24" s="72">
        <v>0</v>
      </c>
      <c r="DV24" s="72">
        <f t="shared" si="56"/>
        <v>2.234279999999999</v>
      </c>
      <c r="DW24" s="72">
        <f t="shared" si="57"/>
        <v>1.4375401</v>
      </c>
      <c r="DX24" s="72">
        <f>493510/10^7</f>
        <v>0.049351</v>
      </c>
      <c r="DY24" s="72"/>
      <c r="DZ24" s="72">
        <f t="shared" si="58"/>
        <v>1.4868911</v>
      </c>
      <c r="EA24" s="169">
        <f t="shared" si="59"/>
        <v>0.7473888999999991</v>
      </c>
      <c r="EB24" s="72">
        <v>2.27</v>
      </c>
      <c r="EC24" s="58">
        <v>0.3</v>
      </c>
      <c r="ED24" s="72">
        <v>0</v>
      </c>
      <c r="EE24" s="72">
        <f t="shared" si="60"/>
        <v>2.57</v>
      </c>
      <c r="EF24" s="72">
        <v>1.54</v>
      </c>
      <c r="EG24" s="72">
        <f>569612/10^7</f>
        <v>0.0569612</v>
      </c>
      <c r="EH24" s="72">
        <v>0</v>
      </c>
      <c r="EI24" s="72">
        <f t="shared" si="83"/>
        <v>1.5969612</v>
      </c>
      <c r="EJ24" s="169">
        <f t="shared" si="61"/>
        <v>0.9730387999999999</v>
      </c>
      <c r="EK24" s="72">
        <f t="shared" si="62"/>
        <v>2.57</v>
      </c>
      <c r="EL24" s="58">
        <f t="shared" si="84"/>
        <v>0.3654971117605287</v>
      </c>
      <c r="EM24" s="72">
        <v>0</v>
      </c>
      <c r="EN24" s="72">
        <f t="shared" si="63"/>
        <v>2.9354971117605286</v>
      </c>
      <c r="EO24" s="72">
        <f t="shared" si="64"/>
        <v>1.5969612</v>
      </c>
      <c r="EP24" s="72">
        <f t="shared" si="65"/>
        <v>0.16268099999999996</v>
      </c>
      <c r="EQ24" s="72"/>
      <c r="ER24" s="72">
        <f t="shared" si="66"/>
        <v>1.7596422</v>
      </c>
      <c r="ES24" s="169">
        <f t="shared" si="67"/>
        <v>1.1758549117605286</v>
      </c>
      <c r="ET24" s="72">
        <f t="shared" si="68"/>
        <v>2.9354971117605286</v>
      </c>
      <c r="EU24" s="58">
        <f t="shared" si="85"/>
        <v>0.3900203474080952</v>
      </c>
      <c r="EV24" s="72">
        <v>0</v>
      </c>
      <c r="EW24" s="72">
        <f t="shared" si="69"/>
        <v>3.3255174591686236</v>
      </c>
      <c r="EX24" s="72">
        <f t="shared" si="70"/>
        <v>1.7596422</v>
      </c>
      <c r="EY24" s="72">
        <f t="shared" si="71"/>
        <v>0.18581696717444146</v>
      </c>
      <c r="EZ24" s="72"/>
      <c r="FA24" s="72">
        <f t="shared" si="72"/>
        <v>1.9454591671744415</v>
      </c>
      <c r="FB24" s="169">
        <f t="shared" si="73"/>
        <v>1.3800582919941822</v>
      </c>
    </row>
    <row r="25" spans="1:158" ht="26.25" customHeight="1">
      <c r="A25" s="79" t="s">
        <v>573</v>
      </c>
      <c r="B25" s="266">
        <v>0.09</v>
      </c>
      <c r="C25" s="167">
        <v>10</v>
      </c>
      <c r="D25" s="168">
        <v>0.1277</v>
      </c>
      <c r="E25" s="168">
        <v>0.0633</v>
      </c>
      <c r="F25" s="167">
        <v>15</v>
      </c>
      <c r="G25" s="72">
        <f>9511138/10^7</f>
        <v>0.9511138</v>
      </c>
      <c r="H25" s="72">
        <f>15471343/10^7</f>
        <v>1.5471343</v>
      </c>
      <c r="I25" s="72">
        <v>0</v>
      </c>
      <c r="J25" s="72">
        <f t="shared" si="0"/>
        <v>2.4982481</v>
      </c>
      <c r="K25" s="72">
        <f>1214572/10^7</f>
        <v>0.1214572</v>
      </c>
      <c r="L25" s="72"/>
      <c r="M25" s="72">
        <f t="shared" si="1"/>
        <v>0.1214572</v>
      </c>
      <c r="N25" s="72">
        <f t="shared" si="2"/>
        <v>2.3767909</v>
      </c>
      <c r="O25" s="169">
        <f t="shared" si="3"/>
        <v>2.4982481</v>
      </c>
      <c r="P25" s="72">
        <f>7660601/10^7</f>
        <v>0.7660601</v>
      </c>
      <c r="Q25" s="72">
        <v>0</v>
      </c>
      <c r="R25" s="72">
        <f t="shared" si="4"/>
        <v>3.2643082000000003</v>
      </c>
      <c r="S25" s="72">
        <f t="shared" si="5"/>
        <v>0.1214572</v>
      </c>
      <c r="T25" s="72">
        <f>3190263/10^7</f>
        <v>0.3190263</v>
      </c>
      <c r="U25" s="169"/>
      <c r="V25" s="169">
        <f t="shared" si="6"/>
        <v>0.4404835</v>
      </c>
      <c r="W25" s="169">
        <f t="shared" si="7"/>
        <v>2.8238247000000003</v>
      </c>
      <c r="X25" s="169">
        <f t="shared" si="8"/>
        <v>3.2643082000000003</v>
      </c>
      <c r="Y25" s="169">
        <f>9627415/10^7</f>
        <v>0.9627415</v>
      </c>
      <c r="Z25" s="72">
        <f>19805545/10^7</f>
        <v>1.9805545</v>
      </c>
      <c r="AA25" s="72">
        <f t="shared" si="9"/>
        <v>2.2464952</v>
      </c>
      <c r="AB25" s="72">
        <f t="shared" si="10"/>
        <v>0.4404835</v>
      </c>
      <c r="AC25" s="72">
        <f>4168522/10^7</f>
        <v>0.4168522</v>
      </c>
      <c r="AD25" s="72">
        <f>5737099/10^7</f>
        <v>0.5737099</v>
      </c>
      <c r="AE25" s="72">
        <f t="shared" si="11"/>
        <v>0.28362579999999993</v>
      </c>
      <c r="AF25" s="169">
        <f t="shared" si="12"/>
        <v>1.9628694000000002</v>
      </c>
      <c r="AG25" s="169">
        <f t="shared" si="13"/>
        <v>2.2464952</v>
      </c>
      <c r="AH25" s="72">
        <f>5718466/10^7</f>
        <v>0.5718466</v>
      </c>
      <c r="AI25" s="72">
        <f>-249338/10^7</f>
        <v>-0.0249338</v>
      </c>
      <c r="AJ25" s="72">
        <f t="shared" si="14"/>
        <v>2.8432755999999997</v>
      </c>
      <c r="AK25" s="72">
        <f t="shared" si="15"/>
        <v>0.28362579999999993</v>
      </c>
      <c r="AL25" s="72">
        <f>2902782/10^7</f>
        <v>0.2902782</v>
      </c>
      <c r="AM25" s="72">
        <f>-1323861/10^7</f>
        <v>-0.1323861</v>
      </c>
      <c r="AN25" s="72">
        <f t="shared" si="16"/>
        <v>0.7062900999999999</v>
      </c>
      <c r="AO25" s="169">
        <f t="shared" si="17"/>
        <v>2.1369854999999998</v>
      </c>
      <c r="AP25" s="72">
        <f t="shared" si="18"/>
        <v>2.8432755999999997</v>
      </c>
      <c r="AQ25" s="156">
        <f>2658466/10^7</f>
        <v>0.2658466</v>
      </c>
      <c r="AR25" s="156">
        <v>0</v>
      </c>
      <c r="AS25" s="72">
        <f t="shared" si="19"/>
        <v>3.1091222</v>
      </c>
      <c r="AT25" s="72">
        <f t="shared" si="20"/>
        <v>0.7062900999999999</v>
      </c>
      <c r="AU25" s="72">
        <f>AP25*12.77%</f>
        <v>0.36308629412</v>
      </c>
      <c r="AV25" s="72"/>
      <c r="AW25" s="72">
        <f t="shared" si="21"/>
        <v>1.0693763941199999</v>
      </c>
      <c r="AX25" s="169">
        <f t="shared" si="22"/>
        <v>2.03974580588</v>
      </c>
      <c r="AY25" s="72">
        <f t="shared" si="23"/>
        <v>3.1091222</v>
      </c>
      <c r="AZ25" s="156">
        <f>7837846/10^7</f>
        <v>0.7837846</v>
      </c>
      <c r="BA25" s="72">
        <v>0</v>
      </c>
      <c r="BB25" s="72">
        <f t="shared" si="24"/>
        <v>3.8929068</v>
      </c>
      <c r="BC25" s="72">
        <f t="shared" si="25"/>
        <v>1.0693763941199999</v>
      </c>
      <c r="BD25" s="72">
        <f t="shared" si="26"/>
        <v>0.279820998</v>
      </c>
      <c r="BE25" s="72"/>
      <c r="BF25" s="72">
        <f t="shared" si="27"/>
        <v>1.3491973921199998</v>
      </c>
      <c r="BG25" s="169">
        <f t="shared" si="28"/>
        <v>2.54370940788</v>
      </c>
      <c r="BH25" s="72">
        <f t="shared" si="29"/>
        <v>3.8929068</v>
      </c>
      <c r="BI25" s="156">
        <v>0.4957307</v>
      </c>
      <c r="BJ25" s="72">
        <v>0.0053061</v>
      </c>
      <c r="BK25" s="72">
        <f t="shared" si="74"/>
        <v>4.383331399999999</v>
      </c>
      <c r="BL25" s="72">
        <f t="shared" si="30"/>
        <v>1.3491973921199998</v>
      </c>
      <c r="BM25" s="72">
        <f t="shared" si="31"/>
        <v>0.350361612</v>
      </c>
      <c r="BN25" s="72"/>
      <c r="BO25" s="72">
        <f t="shared" si="32"/>
        <v>1.6995590041199997</v>
      </c>
      <c r="BP25" s="169">
        <f t="shared" si="33"/>
        <v>2.6837723958799997</v>
      </c>
      <c r="BQ25" s="72">
        <v>4.383331399999999</v>
      </c>
      <c r="BR25" s="156">
        <v>0.1961112</v>
      </c>
      <c r="BS25" s="72">
        <v>0</v>
      </c>
      <c r="BT25" s="72">
        <f t="shared" si="75"/>
        <v>4.579442599999999</v>
      </c>
      <c r="BU25" s="72">
        <f t="shared" si="34"/>
        <v>1.6995590041199997</v>
      </c>
      <c r="BV25" s="72">
        <f t="shared" si="35"/>
        <v>0.39449982599999994</v>
      </c>
      <c r="BW25" s="72"/>
      <c r="BX25" s="72">
        <f t="shared" si="36"/>
        <v>2.09405883012</v>
      </c>
      <c r="BY25" s="169">
        <f t="shared" si="37"/>
        <v>2.4853837698799994</v>
      </c>
      <c r="BZ25" s="72">
        <f t="shared" si="76"/>
        <v>4.579442599999999</v>
      </c>
      <c r="CA25" s="156">
        <v>0.1921896</v>
      </c>
      <c r="CB25" s="72">
        <v>0.0007888</v>
      </c>
      <c r="CC25" s="72">
        <f t="shared" si="77"/>
        <v>4.7708433999999995</v>
      </c>
      <c r="CD25" s="72">
        <f t="shared" si="38"/>
        <v>2.09405883012</v>
      </c>
      <c r="CE25" s="72">
        <f t="shared" si="39"/>
        <v>0.41214983399999994</v>
      </c>
      <c r="CF25" s="72"/>
      <c r="CG25" s="72">
        <f t="shared" si="40"/>
        <v>2.50620866412</v>
      </c>
      <c r="CH25" s="169">
        <f t="shared" si="41"/>
        <v>2.2646347358799996</v>
      </c>
      <c r="CI25" s="72">
        <f t="shared" si="42"/>
        <v>4.7708433999999995</v>
      </c>
      <c r="CJ25" s="72">
        <v>0.5639</v>
      </c>
      <c r="CK25" s="72">
        <v>0</v>
      </c>
      <c r="CL25" s="72">
        <f t="shared" si="78"/>
        <v>5.3347434</v>
      </c>
      <c r="CM25" s="72">
        <f>CG25*0+2.925</f>
        <v>2.925</v>
      </c>
      <c r="CN25" s="72">
        <f>((CI25*$D25)*0+0.49)*0+0.8575</f>
        <v>0.8575</v>
      </c>
      <c r="CO25" s="72"/>
      <c r="CP25" s="72">
        <f t="shared" si="43"/>
        <v>3.7824999999999998</v>
      </c>
      <c r="CQ25" s="169">
        <f t="shared" si="79"/>
        <v>1.5522434</v>
      </c>
      <c r="CR25" s="72">
        <f t="shared" si="80"/>
        <v>5.3347434</v>
      </c>
      <c r="CS25" s="217">
        <v>0.29</v>
      </c>
      <c r="CT25" s="72">
        <v>0</v>
      </c>
      <c r="CU25" s="72">
        <f t="shared" si="44"/>
        <v>5.6247434</v>
      </c>
      <c r="CV25" s="72">
        <f t="shared" si="81"/>
        <v>3.7824999999999998</v>
      </c>
      <c r="CW25" s="72">
        <v>0.45</v>
      </c>
      <c r="CX25" s="72"/>
      <c r="CY25" s="72">
        <f t="shared" si="45"/>
        <v>4.2325</v>
      </c>
      <c r="CZ25" s="169">
        <f t="shared" si="82"/>
        <v>1.3922434</v>
      </c>
      <c r="DA25" s="72">
        <f t="shared" si="46"/>
        <v>5.6247434</v>
      </c>
      <c r="DB25" s="156">
        <f>4069529/10^7</f>
        <v>0.4069529</v>
      </c>
      <c r="DC25" s="72">
        <v>0</v>
      </c>
      <c r="DD25" s="72">
        <f t="shared" si="47"/>
        <v>6.0316963</v>
      </c>
      <c r="DE25" s="72">
        <f t="shared" si="48"/>
        <v>4.2325</v>
      </c>
      <c r="DF25" s="72">
        <f>4552126/10^7</f>
        <v>0.4552126</v>
      </c>
      <c r="DG25" s="72">
        <f>2070407/10^7</f>
        <v>0.2070407</v>
      </c>
      <c r="DH25" s="72">
        <f t="shared" si="49"/>
        <v>4.4806719</v>
      </c>
      <c r="DI25" s="169">
        <f t="shared" si="50"/>
        <v>1.5510244000000002</v>
      </c>
      <c r="DJ25" s="72">
        <f t="shared" si="51"/>
        <v>6.0316963</v>
      </c>
      <c r="DK25" s="58">
        <f>1448343/10^7</f>
        <v>0.1448343</v>
      </c>
      <c r="DL25" s="72">
        <v>0</v>
      </c>
      <c r="DM25" s="72">
        <f t="shared" si="52"/>
        <v>6.1765306</v>
      </c>
      <c r="DN25" s="72">
        <f t="shared" si="53"/>
        <v>4.4806719</v>
      </c>
      <c r="DO25" s="72">
        <f>3735458/10^7</f>
        <v>0.3735458</v>
      </c>
      <c r="DP25" s="306">
        <f>-2045/10^7</f>
        <v>-0.0002045</v>
      </c>
      <c r="DQ25" s="72">
        <f>DN25+DO25+DP25</f>
        <v>4.8540132</v>
      </c>
      <c r="DR25" s="169">
        <f t="shared" si="54"/>
        <v>1.3225174000000006</v>
      </c>
      <c r="DS25" s="72">
        <f t="shared" si="55"/>
        <v>6.1765306</v>
      </c>
      <c r="DT25" s="58">
        <f>12232565/10^7</f>
        <v>1.2232565</v>
      </c>
      <c r="DU25" s="72">
        <v>0</v>
      </c>
      <c r="DV25" s="72">
        <f t="shared" si="56"/>
        <v>7.3997871</v>
      </c>
      <c r="DW25" s="72">
        <f t="shared" si="57"/>
        <v>4.8540132</v>
      </c>
      <c r="DX25" s="72">
        <f>3649357/10^7</f>
        <v>0.3649357</v>
      </c>
      <c r="DY25" s="72">
        <f>652/10^7</f>
        <v>6.52E-05</v>
      </c>
      <c r="DZ25" s="72">
        <f t="shared" si="58"/>
        <v>5.2188837</v>
      </c>
      <c r="EA25" s="169">
        <f t="shared" si="59"/>
        <v>2.1809034</v>
      </c>
      <c r="EB25" s="72">
        <v>9.47</v>
      </c>
      <c r="EC25" s="58">
        <v>2.55</v>
      </c>
      <c r="ED25" s="72">
        <v>0</v>
      </c>
      <c r="EE25" s="72">
        <f t="shared" si="60"/>
        <v>12.02</v>
      </c>
      <c r="EF25" s="72">
        <v>5.73</v>
      </c>
      <c r="EG25" s="72">
        <v>1.66</v>
      </c>
      <c r="EH25" s="72">
        <v>0.11</v>
      </c>
      <c r="EI25" s="72">
        <f t="shared" si="83"/>
        <v>7.500000000000001</v>
      </c>
      <c r="EJ25" s="169">
        <f t="shared" si="61"/>
        <v>4.519999999999999</v>
      </c>
      <c r="EK25" s="72">
        <f t="shared" si="62"/>
        <v>12.02</v>
      </c>
      <c r="EL25" s="58">
        <f t="shared" si="84"/>
        <v>1.7094456355492433</v>
      </c>
      <c r="EM25" s="72">
        <v>0</v>
      </c>
      <c r="EN25" s="72">
        <f t="shared" si="63"/>
        <v>13.729445635549244</v>
      </c>
      <c r="EO25" s="72">
        <f t="shared" si="64"/>
        <v>7.500000000000001</v>
      </c>
      <c r="EP25" s="72">
        <f t="shared" si="65"/>
        <v>0.7608659999999999</v>
      </c>
      <c r="EQ25" s="72"/>
      <c r="ER25" s="72">
        <f t="shared" si="66"/>
        <v>8.260866</v>
      </c>
      <c r="ES25" s="169">
        <f t="shared" si="67"/>
        <v>5.4685796355492435</v>
      </c>
      <c r="ET25" s="72">
        <f t="shared" si="68"/>
        <v>13.729445635549244</v>
      </c>
      <c r="EU25" s="58">
        <f t="shared" si="85"/>
        <v>1.824141858305566</v>
      </c>
      <c r="EV25" s="72">
        <v>0</v>
      </c>
      <c r="EW25" s="72">
        <f t="shared" si="69"/>
        <v>15.55358749385481</v>
      </c>
      <c r="EX25" s="72">
        <f t="shared" si="70"/>
        <v>8.260866</v>
      </c>
      <c r="EY25" s="72">
        <f t="shared" si="71"/>
        <v>0.869073908730267</v>
      </c>
      <c r="EZ25" s="72"/>
      <c r="FA25" s="72">
        <f t="shared" si="72"/>
        <v>9.129939908730266</v>
      </c>
      <c r="FB25" s="169">
        <f t="shared" si="73"/>
        <v>6.423647585124543</v>
      </c>
    </row>
    <row r="26" spans="1:158" ht="26.25" customHeight="1">
      <c r="A26" s="79"/>
      <c r="B26" s="162"/>
      <c r="C26" s="167"/>
      <c r="D26" s="168"/>
      <c r="E26" s="168"/>
      <c r="F26" s="167"/>
      <c r="G26" s="72"/>
      <c r="H26" s="72"/>
      <c r="I26" s="72"/>
      <c r="J26" s="72"/>
      <c r="K26" s="72"/>
      <c r="L26" s="72"/>
      <c r="M26" s="72"/>
      <c r="N26" s="72"/>
      <c r="O26" s="169"/>
      <c r="P26" s="72"/>
      <c r="Q26" s="72"/>
      <c r="R26" s="72"/>
      <c r="S26" s="72"/>
      <c r="T26" s="72"/>
      <c r="U26" s="169"/>
      <c r="V26" s="169"/>
      <c r="W26" s="169"/>
      <c r="X26" s="169"/>
      <c r="Y26" s="169"/>
      <c r="Z26" s="72"/>
      <c r="AA26" s="72"/>
      <c r="AB26" s="72"/>
      <c r="AC26" s="72"/>
      <c r="AD26" s="72"/>
      <c r="AE26" s="72"/>
      <c r="AF26" s="169"/>
      <c r="AG26" s="169"/>
      <c r="AH26" s="72"/>
      <c r="AI26" s="72"/>
      <c r="AJ26" s="72"/>
      <c r="AK26" s="72"/>
      <c r="AL26" s="72"/>
      <c r="AM26" s="72"/>
      <c r="AN26" s="72"/>
      <c r="AO26" s="169"/>
      <c r="AP26" s="72"/>
      <c r="AQ26" s="156"/>
      <c r="AR26" s="156"/>
      <c r="AS26" s="72"/>
      <c r="AT26" s="72"/>
      <c r="AU26" s="72"/>
      <c r="AV26" s="72"/>
      <c r="AW26" s="72"/>
      <c r="AX26" s="169"/>
      <c r="AY26" s="72"/>
      <c r="AZ26" s="156"/>
      <c r="BA26" s="72"/>
      <c r="BB26" s="72"/>
      <c r="BC26" s="72"/>
      <c r="BD26" s="72"/>
      <c r="BE26" s="72"/>
      <c r="BF26" s="72"/>
      <c r="BG26" s="169"/>
      <c r="BH26" s="72"/>
      <c r="BI26" s="156"/>
      <c r="BJ26" s="72"/>
      <c r="BK26" s="72"/>
      <c r="BL26" s="72"/>
      <c r="BM26" s="72"/>
      <c r="BN26" s="72"/>
      <c r="BO26" s="72"/>
      <c r="BP26" s="169"/>
      <c r="BQ26" s="72"/>
      <c r="BR26" s="156"/>
      <c r="BS26" s="72"/>
      <c r="BT26" s="72"/>
      <c r="BU26" s="72"/>
      <c r="BV26" s="72"/>
      <c r="BW26" s="72"/>
      <c r="BX26" s="72"/>
      <c r="BY26" s="169"/>
      <c r="BZ26" s="72"/>
      <c r="CA26" s="156"/>
      <c r="CB26" s="72"/>
      <c r="CC26" s="72"/>
      <c r="CD26" s="72"/>
      <c r="CE26" s="72"/>
      <c r="CF26" s="72"/>
      <c r="CG26" s="72"/>
      <c r="CH26" s="169"/>
      <c r="CI26" s="72"/>
      <c r="CJ26" s="72"/>
      <c r="CK26" s="72"/>
      <c r="CL26" s="72"/>
      <c r="CM26" s="72"/>
      <c r="CN26" s="72"/>
      <c r="CO26" s="72"/>
      <c r="CP26" s="72"/>
      <c r="CQ26" s="169"/>
      <c r="CR26" s="72"/>
      <c r="CS26" s="217"/>
      <c r="CT26" s="72"/>
      <c r="CU26" s="72"/>
      <c r="CV26" s="72"/>
      <c r="CW26" s="72"/>
      <c r="CX26" s="72"/>
      <c r="CY26" s="72"/>
      <c r="CZ26" s="169"/>
      <c r="DA26" s="72"/>
      <c r="DB26" s="156"/>
      <c r="DC26" s="72"/>
      <c r="DD26" s="72"/>
      <c r="DE26" s="72"/>
      <c r="DF26" s="72"/>
      <c r="DG26" s="72"/>
      <c r="DH26" s="72"/>
      <c r="DI26" s="169"/>
      <c r="DJ26" s="72"/>
      <c r="DK26" s="156"/>
      <c r="DL26" s="72"/>
      <c r="DM26" s="72"/>
      <c r="DN26" s="72">
        <f t="shared" si="53"/>
        <v>0</v>
      </c>
      <c r="DO26" s="72"/>
      <c r="DP26" s="72"/>
      <c r="DQ26" s="72"/>
      <c r="DR26" s="169"/>
      <c r="DS26" s="72"/>
      <c r="DT26" s="156"/>
      <c r="DU26" s="72"/>
      <c r="DV26" s="72"/>
      <c r="DW26" s="72">
        <f t="shared" si="57"/>
        <v>0</v>
      </c>
      <c r="DX26" s="72"/>
      <c r="DY26" s="72"/>
      <c r="DZ26" s="72"/>
      <c r="EA26" s="169"/>
      <c r="EB26" s="72"/>
      <c r="EC26" s="156"/>
      <c r="ED26" s="72"/>
      <c r="EE26" s="72"/>
      <c r="EF26" s="72">
        <f>DZ26</f>
        <v>0</v>
      </c>
      <c r="EG26" s="72"/>
      <c r="EH26" s="72"/>
      <c r="EI26" s="72"/>
      <c r="EJ26" s="169"/>
      <c r="EK26" s="72"/>
      <c r="EL26" s="156"/>
      <c r="EM26" s="72"/>
      <c r="EN26" s="72"/>
      <c r="EO26" s="72">
        <f t="shared" si="64"/>
        <v>0</v>
      </c>
      <c r="EP26" s="72"/>
      <c r="EQ26" s="72"/>
      <c r="ER26" s="72"/>
      <c r="ES26" s="169"/>
      <c r="ET26" s="72"/>
      <c r="EU26" s="156"/>
      <c r="EV26" s="72"/>
      <c r="EW26" s="72"/>
      <c r="EX26" s="72">
        <f t="shared" si="70"/>
        <v>0</v>
      </c>
      <c r="EY26" s="72"/>
      <c r="EZ26" s="72"/>
      <c r="FA26" s="72"/>
      <c r="FB26" s="169"/>
    </row>
    <row r="27" spans="1:158" ht="26.25" customHeight="1">
      <c r="A27" s="229" t="s">
        <v>398</v>
      </c>
      <c r="B27" s="66"/>
      <c r="C27" s="309"/>
      <c r="D27" s="309"/>
      <c r="E27" s="309"/>
      <c r="F27" s="309"/>
      <c r="G27" s="66">
        <f aca="true" t="shared" si="86" ref="G27:AL27">SUM(G18:G25)</f>
        <v>1957.7</v>
      </c>
      <c r="H27" s="66">
        <f t="shared" si="86"/>
        <v>107.2895984</v>
      </c>
      <c r="I27" s="66">
        <f t="shared" si="86"/>
        <v>0</v>
      </c>
      <c r="J27" s="66">
        <f t="shared" si="86"/>
        <v>2064.9895984000004</v>
      </c>
      <c r="K27" s="66">
        <f t="shared" si="86"/>
        <v>132.9574463</v>
      </c>
      <c r="L27" s="66">
        <f t="shared" si="86"/>
        <v>0</v>
      </c>
      <c r="M27" s="66">
        <f t="shared" si="86"/>
        <v>132.9574463</v>
      </c>
      <c r="N27" s="66">
        <f t="shared" si="86"/>
        <v>1932.0321521</v>
      </c>
      <c r="O27" s="66">
        <f t="shared" si="86"/>
        <v>2064.9895984000004</v>
      </c>
      <c r="P27" s="66">
        <f t="shared" si="86"/>
        <v>110.85429589999998</v>
      </c>
      <c r="Q27" s="66">
        <f t="shared" si="86"/>
        <v>0</v>
      </c>
      <c r="R27" s="66">
        <f t="shared" si="86"/>
        <v>2175.8438943</v>
      </c>
      <c r="S27" s="66">
        <f t="shared" si="86"/>
        <v>132.9574463</v>
      </c>
      <c r="T27" s="66">
        <f t="shared" si="86"/>
        <v>141.66078009999998</v>
      </c>
      <c r="U27" s="66">
        <f t="shared" si="86"/>
        <v>0</v>
      </c>
      <c r="V27" s="66">
        <f t="shared" si="86"/>
        <v>274.6182264</v>
      </c>
      <c r="W27" s="66">
        <f t="shared" si="86"/>
        <v>1901.2256679</v>
      </c>
      <c r="X27" s="66">
        <f t="shared" si="86"/>
        <v>2175.8438943</v>
      </c>
      <c r="Y27" s="66">
        <f t="shared" si="86"/>
        <v>62.4956737</v>
      </c>
      <c r="Z27" s="66">
        <f t="shared" si="86"/>
        <v>1059.4095246</v>
      </c>
      <c r="AA27" s="66">
        <f t="shared" si="86"/>
        <v>1178.9300434000002</v>
      </c>
      <c r="AB27" s="66">
        <f t="shared" si="86"/>
        <v>274.6182264</v>
      </c>
      <c r="AC27" s="66">
        <f t="shared" si="86"/>
        <v>149.9139486</v>
      </c>
      <c r="AD27" s="66">
        <f t="shared" si="86"/>
        <v>227.71661640000002</v>
      </c>
      <c r="AE27" s="66">
        <f t="shared" si="86"/>
        <v>196.8155586</v>
      </c>
      <c r="AF27" s="66">
        <f t="shared" si="86"/>
        <v>982.1144848000004</v>
      </c>
      <c r="AG27" s="66">
        <f t="shared" si="86"/>
        <v>1178.9300434000002</v>
      </c>
      <c r="AH27" s="66">
        <f t="shared" si="86"/>
        <v>111.7941879</v>
      </c>
      <c r="AI27" s="66">
        <f t="shared" si="86"/>
        <v>1.2281842209915794E-15</v>
      </c>
      <c r="AJ27" s="66">
        <f t="shared" si="86"/>
        <v>1290.7242313000006</v>
      </c>
      <c r="AK27" s="66">
        <f t="shared" si="86"/>
        <v>196.8155586</v>
      </c>
      <c r="AL27" s="66">
        <f t="shared" si="86"/>
        <v>73.11931719999998</v>
      </c>
      <c r="AM27" s="66">
        <f aca="true" t="shared" si="87" ref="AM27:BR27">SUM(AM18:AM25)</f>
        <v>-0.6683141999999966</v>
      </c>
      <c r="AN27" s="66">
        <f t="shared" si="87"/>
        <v>270.60319000000004</v>
      </c>
      <c r="AO27" s="66">
        <f t="shared" si="87"/>
        <v>1020.1210413000003</v>
      </c>
      <c r="AP27" s="66">
        <f t="shared" si="87"/>
        <v>1290.7242313000006</v>
      </c>
      <c r="AQ27" s="66">
        <f t="shared" si="87"/>
        <v>134.10364530000004</v>
      </c>
      <c r="AR27" s="66">
        <f t="shared" si="87"/>
        <v>18.627275500000003</v>
      </c>
      <c r="AS27" s="66">
        <f t="shared" si="87"/>
        <v>1406.2006011000005</v>
      </c>
      <c r="AT27" s="66">
        <f t="shared" si="87"/>
        <v>270.60319000000004</v>
      </c>
      <c r="AU27" s="66">
        <f t="shared" si="87"/>
        <v>81.26088736918</v>
      </c>
      <c r="AV27" s="66">
        <f t="shared" si="87"/>
        <v>6.0211744</v>
      </c>
      <c r="AW27" s="66">
        <f t="shared" si="87"/>
        <v>345.84290296918005</v>
      </c>
      <c r="AX27" s="66">
        <f t="shared" si="87"/>
        <v>1060.3576981308204</v>
      </c>
      <c r="AY27" s="66">
        <f t="shared" si="87"/>
        <v>1406.2006011000005</v>
      </c>
      <c r="AZ27" s="66">
        <f t="shared" si="87"/>
        <v>86.4353279</v>
      </c>
      <c r="BA27" s="66">
        <f t="shared" si="87"/>
        <v>2.6835383999999998</v>
      </c>
      <c r="BB27" s="66">
        <f t="shared" si="87"/>
        <v>1489.9523906000004</v>
      </c>
      <c r="BC27" s="66">
        <f t="shared" si="87"/>
        <v>345.84290296918005</v>
      </c>
      <c r="BD27" s="66">
        <f t="shared" si="87"/>
        <v>35.367966493580006</v>
      </c>
      <c r="BE27" s="66">
        <f t="shared" si="87"/>
        <v>0</v>
      </c>
      <c r="BF27" s="66">
        <f t="shared" si="87"/>
        <v>381.21086946276006</v>
      </c>
      <c r="BG27" s="66">
        <f t="shared" si="87"/>
        <v>1108.7415211372402</v>
      </c>
      <c r="BH27" s="66">
        <f t="shared" si="87"/>
        <v>1489.9523906000004</v>
      </c>
      <c r="BI27" s="66">
        <f t="shared" si="87"/>
        <v>139.2976855</v>
      </c>
      <c r="BJ27" s="66">
        <f t="shared" si="87"/>
        <v>7.1266452000000005</v>
      </c>
      <c r="BK27" s="66">
        <f t="shared" si="87"/>
        <v>1622.1234309000001</v>
      </c>
      <c r="BL27" s="66">
        <f t="shared" si="87"/>
        <v>381.21086946276006</v>
      </c>
      <c r="BM27" s="66">
        <f t="shared" si="87"/>
        <v>37.55183327905001</v>
      </c>
      <c r="BN27" s="66">
        <f t="shared" si="87"/>
        <v>0</v>
      </c>
      <c r="BO27" s="66">
        <f t="shared" si="87"/>
        <v>418.76270274180996</v>
      </c>
      <c r="BP27" s="66">
        <f t="shared" si="87"/>
        <v>1203.3607281581903</v>
      </c>
      <c r="BQ27" s="66">
        <f t="shared" si="87"/>
        <v>1622.1228077000003</v>
      </c>
      <c r="BR27" s="66">
        <f t="shared" si="87"/>
        <v>70.9662785</v>
      </c>
      <c r="BS27" s="66">
        <f aca="true" t="shared" si="88" ref="BS27:BY27">SUM(BS18:BS25)</f>
        <v>1.5126015</v>
      </c>
      <c r="BT27" s="66">
        <f t="shared" si="88"/>
        <v>1691.5764847000005</v>
      </c>
      <c r="BU27" s="66">
        <f t="shared" si="88"/>
        <v>418.76270274180996</v>
      </c>
      <c r="BV27" s="66">
        <f t="shared" si="88"/>
        <v>40.95291715759001</v>
      </c>
      <c r="BW27" s="66">
        <f t="shared" si="88"/>
        <v>0</v>
      </c>
      <c r="BX27" s="66">
        <f t="shared" si="88"/>
        <v>459.7156198994</v>
      </c>
      <c r="BY27" s="66">
        <f t="shared" si="88"/>
        <v>1231.8608648006002</v>
      </c>
      <c r="BZ27" s="66">
        <f aca="true" t="shared" si="89" ref="BZ27:CY27">SUM(BZ18:BZ25)</f>
        <v>1691.5764847000005</v>
      </c>
      <c r="CA27" s="66">
        <f t="shared" si="89"/>
        <v>69.95796740000002</v>
      </c>
      <c r="CB27" s="66">
        <f t="shared" si="89"/>
        <v>-1.7594074000000004</v>
      </c>
      <c r="CC27" s="66">
        <f t="shared" si="89"/>
        <v>1763.2938595000003</v>
      </c>
      <c r="CD27" s="66">
        <f t="shared" si="89"/>
        <v>459.7156198994</v>
      </c>
      <c r="CE27" s="66">
        <f t="shared" si="89"/>
        <v>42.560273839640004</v>
      </c>
      <c r="CF27" s="66">
        <f t="shared" si="89"/>
        <v>0</v>
      </c>
      <c r="CG27" s="66">
        <f t="shared" si="89"/>
        <v>502.27589373904</v>
      </c>
      <c r="CH27" s="66">
        <f t="shared" si="89"/>
        <v>1261.0179657609604</v>
      </c>
      <c r="CI27" s="66">
        <f t="shared" si="89"/>
        <v>1763.2938595000003</v>
      </c>
      <c r="CJ27" s="66">
        <f t="shared" si="89"/>
        <v>166.166</v>
      </c>
      <c r="CK27" s="66">
        <f t="shared" si="89"/>
        <v>7.2566</v>
      </c>
      <c r="CL27" s="66">
        <f t="shared" si="89"/>
        <v>1922.2032595000003</v>
      </c>
      <c r="CM27" s="66">
        <f t="shared" si="89"/>
        <v>733.3481</v>
      </c>
      <c r="CN27" s="66">
        <f t="shared" si="89"/>
        <v>95.2707</v>
      </c>
      <c r="CO27" s="66">
        <f t="shared" si="89"/>
        <v>3.1917</v>
      </c>
      <c r="CP27" s="66">
        <f t="shared" si="89"/>
        <v>825.4271</v>
      </c>
      <c r="CQ27" s="66">
        <f t="shared" si="89"/>
        <v>1096.7761595000004</v>
      </c>
      <c r="CR27" s="66">
        <f t="shared" si="89"/>
        <v>1922.2032595000003</v>
      </c>
      <c r="CS27" s="310">
        <f t="shared" si="89"/>
        <v>144.2312</v>
      </c>
      <c r="CT27" s="66">
        <f t="shared" si="89"/>
        <v>0</v>
      </c>
      <c r="CU27" s="66">
        <f t="shared" si="89"/>
        <v>2066.4344595000002</v>
      </c>
      <c r="CV27" s="66">
        <f t="shared" si="89"/>
        <v>825.4271</v>
      </c>
      <c r="CW27" s="66">
        <f t="shared" si="89"/>
        <v>98.63000000000001</v>
      </c>
      <c r="CX27" s="66">
        <f t="shared" si="89"/>
        <v>0</v>
      </c>
      <c r="CY27" s="66">
        <f t="shared" si="89"/>
        <v>924.0971</v>
      </c>
      <c r="CZ27" s="66">
        <f>SUM(CZ18:CZ25)</f>
        <v>1142.3373595000003</v>
      </c>
      <c r="DA27" s="66">
        <f aca="true" t="shared" si="90" ref="DA27:DI27">SUM(DA18:DA25)</f>
        <v>2066.4344595000002</v>
      </c>
      <c r="DB27" s="66">
        <f t="shared" si="90"/>
        <v>206.0995887</v>
      </c>
      <c r="DC27" s="66">
        <f t="shared" si="90"/>
        <v>0</v>
      </c>
      <c r="DD27" s="66">
        <f t="shared" si="90"/>
        <v>2272.5340482000006</v>
      </c>
      <c r="DE27" s="66">
        <f t="shared" si="90"/>
        <v>924.0971</v>
      </c>
      <c r="DF27" s="66">
        <f t="shared" si="90"/>
        <v>108.54856999999998</v>
      </c>
      <c r="DG27" s="66">
        <f t="shared" si="90"/>
        <v>-1.3573289999999998</v>
      </c>
      <c r="DH27" s="66">
        <f t="shared" si="90"/>
        <v>1034.0029990000003</v>
      </c>
      <c r="DI27" s="66">
        <f t="shared" si="90"/>
        <v>1238.5310492000006</v>
      </c>
      <c r="DJ27" s="66">
        <f aca="true" t="shared" si="91" ref="DJ27:DR27">SUM(DJ18:DJ25)</f>
        <v>2272.5340482000006</v>
      </c>
      <c r="DK27" s="66">
        <f>SUM(DK18:DK25)</f>
        <v>142.72448870000002</v>
      </c>
      <c r="DL27" s="66">
        <f t="shared" si="91"/>
        <v>0</v>
      </c>
      <c r="DM27" s="66">
        <f t="shared" si="91"/>
        <v>2415.2585369000003</v>
      </c>
      <c r="DN27" s="66">
        <f t="shared" si="91"/>
        <v>1034.0029990000003</v>
      </c>
      <c r="DO27" s="66">
        <f t="shared" si="91"/>
        <v>109.8241352</v>
      </c>
      <c r="DP27" s="329">
        <f t="shared" si="91"/>
        <v>-0.0803473</v>
      </c>
      <c r="DQ27" s="66">
        <f t="shared" si="91"/>
        <v>1143.7445341</v>
      </c>
      <c r="DR27" s="66">
        <f t="shared" si="91"/>
        <v>1271.5140028</v>
      </c>
      <c r="DS27" s="66">
        <f aca="true" t="shared" si="92" ref="DS27:EA27">SUM(DS18:DS25)</f>
        <v>2415.2585369000003</v>
      </c>
      <c r="DT27" s="66">
        <f t="shared" si="92"/>
        <v>188.48588439999997</v>
      </c>
      <c r="DU27" s="66">
        <f t="shared" si="92"/>
        <v>0</v>
      </c>
      <c r="DV27" s="66">
        <f t="shared" si="92"/>
        <v>2603.7444213000003</v>
      </c>
      <c r="DW27" s="66">
        <f t="shared" si="92"/>
        <v>1143.7445341</v>
      </c>
      <c r="DX27" s="66">
        <f t="shared" si="92"/>
        <v>108.0334522</v>
      </c>
      <c r="DY27" s="66">
        <f t="shared" si="92"/>
        <v>0.1869072</v>
      </c>
      <c r="DZ27" s="66">
        <f t="shared" si="92"/>
        <v>1251.9647631000003</v>
      </c>
      <c r="EA27" s="66">
        <f t="shared" si="92"/>
        <v>1351.7796581999999</v>
      </c>
      <c r="EB27" s="66">
        <f aca="true" t="shared" si="93" ref="EB27:EJ27">SUM(EB18:EB25)</f>
        <v>2793.54</v>
      </c>
      <c r="EC27" s="66">
        <f t="shared" si="93"/>
        <v>135.58</v>
      </c>
      <c r="ED27" s="66">
        <f t="shared" si="93"/>
        <v>0</v>
      </c>
      <c r="EE27" s="66">
        <f t="shared" si="93"/>
        <v>2929.1200000000003</v>
      </c>
      <c r="EF27" s="66">
        <f t="shared" si="93"/>
        <v>1375.8700000000001</v>
      </c>
      <c r="EG27" s="66">
        <f t="shared" si="93"/>
        <v>125.6769612</v>
      </c>
      <c r="EH27" s="66">
        <f t="shared" si="93"/>
        <v>3.5537856999999997</v>
      </c>
      <c r="EI27" s="66">
        <f t="shared" si="93"/>
        <v>1505.1107469</v>
      </c>
      <c r="EJ27" s="66">
        <f t="shared" si="93"/>
        <v>1424.0092531</v>
      </c>
      <c r="EK27" s="66">
        <f aca="true" t="shared" si="94" ref="EK27:ES27">SUM(EK18:EK25)</f>
        <v>2929.1200000000003</v>
      </c>
      <c r="EL27" s="66">
        <f t="shared" si="94"/>
        <v>416.56999999999994</v>
      </c>
      <c r="EM27" s="66">
        <f t="shared" si="94"/>
        <v>0</v>
      </c>
      <c r="EN27" s="66">
        <f t="shared" si="94"/>
        <v>3345.69</v>
      </c>
      <c r="EO27" s="66">
        <f t="shared" si="94"/>
        <v>1505.1107469</v>
      </c>
      <c r="EP27" s="66">
        <f t="shared" si="94"/>
        <v>151.32934500000002</v>
      </c>
      <c r="EQ27" s="66">
        <f t="shared" si="94"/>
        <v>0</v>
      </c>
      <c r="ER27" s="66">
        <f t="shared" si="94"/>
        <v>1656.4400919</v>
      </c>
      <c r="ES27" s="66">
        <f t="shared" si="94"/>
        <v>1689.2499081</v>
      </c>
      <c r="ET27" s="66">
        <f aca="true" t="shared" si="95" ref="ET27:FB27">SUM(ET18:ET25)</f>
        <v>3345.69</v>
      </c>
      <c r="EU27" s="66">
        <f t="shared" si="95"/>
        <v>444.52</v>
      </c>
      <c r="EV27" s="66">
        <f t="shared" si="95"/>
        <v>0</v>
      </c>
      <c r="EW27" s="66">
        <f t="shared" si="95"/>
        <v>3790.2099999999996</v>
      </c>
      <c r="EX27" s="66">
        <f t="shared" si="95"/>
        <v>1656.4400919</v>
      </c>
      <c r="EY27" s="66">
        <f t="shared" si="95"/>
        <v>172.85091640938234</v>
      </c>
      <c r="EZ27" s="66">
        <f t="shared" si="95"/>
        <v>0</v>
      </c>
      <c r="FA27" s="66">
        <f t="shared" si="95"/>
        <v>1829.2910083093825</v>
      </c>
      <c r="FB27" s="66">
        <f t="shared" si="95"/>
        <v>1960.9189916906175</v>
      </c>
    </row>
    <row r="28" spans="1:151" ht="12.75" hidden="1">
      <c r="A28" s="229"/>
      <c r="B28" s="229"/>
      <c r="C28" s="273"/>
      <c r="D28" s="273"/>
      <c r="E28" s="273"/>
      <c r="F28" s="273"/>
      <c r="G28" s="229"/>
      <c r="H28" s="229"/>
      <c r="I28" s="229"/>
      <c r="J28" s="229"/>
      <c r="K28" s="229"/>
      <c r="L28" s="229"/>
      <c r="M28" s="229"/>
      <c r="N28" s="229"/>
      <c r="O28" s="303"/>
      <c r="P28" s="229"/>
      <c r="Q28" s="229"/>
      <c r="R28" s="229"/>
      <c r="S28" s="229"/>
      <c r="T28" s="229"/>
      <c r="U28" s="229"/>
      <c r="V28" s="229"/>
      <c r="W28" s="303"/>
      <c r="X28" s="303"/>
      <c r="Y28" s="229"/>
      <c r="Z28" s="229"/>
      <c r="AA28" s="229"/>
      <c r="AB28" s="229"/>
      <c r="AC28" s="229"/>
      <c r="AD28" s="229"/>
      <c r="AE28" s="229"/>
      <c r="AF28" s="229"/>
      <c r="AG28" s="229"/>
      <c r="AH28" s="229"/>
      <c r="AI28" s="229"/>
      <c r="AJ28" s="229"/>
      <c r="AK28" s="229"/>
      <c r="AL28" s="229"/>
      <c r="AM28" s="229"/>
      <c r="AN28" s="229"/>
      <c r="AO28" s="229"/>
      <c r="AP28" s="229"/>
      <c r="AQ28" s="229"/>
      <c r="AR28" s="229"/>
      <c r="AS28" s="229"/>
      <c r="AT28" s="229"/>
      <c r="AU28" s="229"/>
      <c r="AV28" s="229"/>
      <c r="AW28" s="229"/>
      <c r="AX28" s="229"/>
      <c r="AY28" s="229"/>
      <c r="AZ28" s="229"/>
      <c r="BA28" s="229"/>
      <c r="BB28" s="229"/>
      <c r="BC28" s="229"/>
      <c r="BD28" s="229"/>
      <c r="BE28" s="229"/>
      <c r="BF28" s="229"/>
      <c r="BG28" s="229"/>
      <c r="BH28" s="229"/>
      <c r="BI28" s="229"/>
      <c r="BJ28" s="229"/>
      <c r="BK28" s="229"/>
      <c r="BL28" s="229"/>
      <c r="BM28" s="229"/>
      <c r="BN28" s="229"/>
      <c r="BO28" s="229"/>
      <c r="BP28" s="229"/>
      <c r="BQ28" s="229"/>
      <c r="BR28" s="229"/>
      <c r="BS28" s="229"/>
      <c r="BT28" s="229"/>
      <c r="BU28" s="79"/>
      <c r="BV28" s="79"/>
      <c r="BW28" s="79"/>
      <c r="BX28" s="79"/>
      <c r="BY28" s="79"/>
      <c r="BZ28" s="229"/>
      <c r="CA28" s="229"/>
      <c r="CB28" s="229"/>
      <c r="CC28" s="229"/>
      <c r="CD28" s="79"/>
      <c r="CE28" s="79"/>
      <c r="CF28" s="79"/>
      <c r="CG28" s="79"/>
      <c r="CH28" s="79"/>
      <c r="CI28" s="229"/>
      <c r="CJ28" s="229"/>
      <c r="CK28" s="229"/>
      <c r="CL28" s="229"/>
      <c r="CM28" s="79"/>
      <c r="CN28" s="79"/>
      <c r="CO28" s="79"/>
      <c r="CP28" s="79"/>
      <c r="CQ28" s="79"/>
      <c r="CR28" s="229"/>
      <c r="CS28" s="304"/>
      <c r="CT28" s="229"/>
      <c r="CU28" s="229"/>
      <c r="CV28" s="79"/>
      <c r="CW28" s="79"/>
      <c r="CX28" s="79"/>
      <c r="CY28" s="79"/>
      <c r="CZ28" s="79"/>
      <c r="DB28" s="114">
        <v>117.02</v>
      </c>
      <c r="DK28" s="282">
        <v>396.34</v>
      </c>
      <c r="DT28" s="282">
        <v>422.8</v>
      </c>
      <c r="EC28" s="282">
        <v>422.8</v>
      </c>
      <c r="EL28" s="282">
        <v>422.8</v>
      </c>
      <c r="EU28" s="282">
        <v>422.8</v>
      </c>
    </row>
    <row r="29" spans="33:109" ht="12.75">
      <c r="AG29" s="157"/>
      <c r="AH29" s="157"/>
      <c r="AI29" s="157"/>
      <c r="AJ29" s="157"/>
      <c r="BT29" s="114">
        <f>1765.81-1633.2</f>
        <v>132.6099999999999</v>
      </c>
      <c r="DE29" s="311"/>
    </row>
    <row r="30" spans="1:100" ht="12.75">
      <c r="A30" s="228" t="s">
        <v>456</v>
      </c>
      <c r="B30" s="228"/>
      <c r="C30" s="228"/>
      <c r="D30" s="228"/>
      <c r="E30" s="228"/>
      <c r="F30" s="228"/>
      <c r="G30" s="228"/>
      <c r="H30" s="228"/>
      <c r="I30" s="228"/>
      <c r="J30" s="228"/>
      <c r="K30" s="228"/>
      <c r="L30" s="228"/>
      <c r="M30" s="228"/>
      <c r="N30" s="228"/>
      <c r="O30" s="228"/>
      <c r="P30" s="228"/>
      <c r="Q30" s="228"/>
      <c r="R30" s="228"/>
      <c r="S30" s="228"/>
      <c r="T30" s="228"/>
      <c r="U30" s="228"/>
      <c r="V30" s="228"/>
      <c r="W30" s="228"/>
      <c r="X30" s="228"/>
      <c r="Y30" s="228"/>
      <c r="Z30" s="228"/>
      <c r="AA30" s="228"/>
      <c r="AB30" s="228"/>
      <c r="AC30" s="228"/>
      <c r="AD30" s="228"/>
      <c r="AE30" s="228"/>
      <c r="AF30" s="228"/>
      <c r="AG30" s="228"/>
      <c r="AH30" s="228"/>
      <c r="AI30" s="228"/>
      <c r="AJ30" s="228"/>
      <c r="AK30" s="228"/>
      <c r="AL30" s="228"/>
      <c r="AM30" s="228"/>
      <c r="AN30" s="228"/>
      <c r="AO30" s="228"/>
      <c r="AP30" s="228"/>
      <c r="AQ30" s="228"/>
      <c r="AR30" s="228"/>
      <c r="AS30" s="228"/>
      <c r="AT30" s="228"/>
      <c r="AU30" s="228"/>
      <c r="AV30" s="228"/>
      <c r="AW30" s="228"/>
      <c r="AX30" s="228"/>
      <c r="AY30" s="228"/>
      <c r="AZ30" s="228"/>
      <c r="BA30" s="228"/>
      <c r="BB30" s="262"/>
      <c r="BC30" s="228"/>
      <c r="BD30" s="228"/>
      <c r="BE30" s="228"/>
      <c r="BF30" s="228"/>
      <c r="BG30" s="228"/>
      <c r="BH30" s="228"/>
      <c r="BI30" s="228"/>
      <c r="BJ30" s="228"/>
      <c r="BK30" s="262"/>
      <c r="BL30" s="228"/>
      <c r="BM30" s="228"/>
      <c r="BN30" s="228"/>
      <c r="BO30" s="228"/>
      <c r="BP30" s="228"/>
      <c r="BQ30" s="262"/>
      <c r="BR30" s="262"/>
      <c r="BS30" s="228"/>
      <c r="BT30" s="262"/>
      <c r="BU30" s="228"/>
      <c r="BV30" s="228"/>
      <c r="BW30" s="228"/>
      <c r="BX30" s="228"/>
      <c r="BY30" s="228"/>
      <c r="BZ30" s="228"/>
      <c r="CC30" s="157"/>
      <c r="CL30" s="157"/>
      <c r="CV30" s="157"/>
    </row>
    <row r="31" spans="1:82" ht="12.75">
      <c r="A31" s="114" t="s">
        <v>1122</v>
      </c>
      <c r="CA31" s="272"/>
      <c r="CB31" s="272"/>
      <c r="CC31" s="272"/>
      <c r="CD31" s="272"/>
    </row>
    <row r="32" spans="1:82" ht="12.75">
      <c r="A32" s="114" t="s">
        <v>1380</v>
      </c>
      <c r="CA32" s="272"/>
      <c r="CB32" s="272"/>
      <c r="CC32" s="272"/>
      <c r="CD32" s="272"/>
    </row>
    <row r="33" spans="1:82" ht="12.75">
      <c r="A33" s="114" t="s">
        <v>1067</v>
      </c>
      <c r="CA33" s="272"/>
      <c r="CB33" s="272"/>
      <c r="CC33" s="272"/>
      <c r="CD33" s="272"/>
    </row>
    <row r="34" spans="1:82" ht="12.75">
      <c r="A34" s="114" t="s">
        <v>1381</v>
      </c>
      <c r="CA34" s="272"/>
      <c r="CB34" s="272"/>
      <c r="CC34" s="272"/>
      <c r="CD34" s="272"/>
    </row>
    <row r="35" spans="74:151" ht="12.75">
      <c r="BV35" s="272"/>
      <c r="CA35" s="272"/>
      <c r="CB35" s="272"/>
      <c r="CC35" s="272"/>
      <c r="CD35" s="272"/>
      <c r="EC35" s="272"/>
      <c r="EL35" s="272">
        <v>227.34</v>
      </c>
      <c r="EU35" s="272">
        <v>594.16</v>
      </c>
    </row>
    <row r="36" spans="69:151" ht="12.75">
      <c r="BQ36" s="272"/>
      <c r="BR36" s="272"/>
      <c r="BS36" s="272"/>
      <c r="BT36" s="272"/>
      <c r="BU36" s="272"/>
      <c r="BV36" s="272"/>
      <c r="CA36" s="272"/>
      <c r="CB36" s="272"/>
      <c r="CC36" s="272"/>
      <c r="CD36" s="272"/>
      <c r="DK36" s="157"/>
      <c r="DT36" s="157"/>
      <c r="EC36" s="157"/>
      <c r="EL36" s="157">
        <f>EL35-EL27</f>
        <v>-189.22999999999993</v>
      </c>
      <c r="EU36" s="157">
        <f>EU35-EU27</f>
        <v>149.64</v>
      </c>
    </row>
    <row r="37" spans="69:110" ht="12.75">
      <c r="BQ37" s="272"/>
      <c r="BR37" s="272"/>
      <c r="BS37" s="272"/>
      <c r="BT37" s="272"/>
      <c r="BU37" s="272"/>
      <c r="BV37" s="272"/>
      <c r="CA37" s="272"/>
      <c r="CB37" s="272"/>
      <c r="CC37" s="272"/>
      <c r="CD37" s="272"/>
      <c r="DF37" s="114">
        <v>112.22</v>
      </c>
    </row>
    <row r="38" spans="69:110" ht="12.75">
      <c r="BQ38" s="272"/>
      <c r="BR38" s="272"/>
      <c r="BS38" s="272"/>
      <c r="BT38" s="272"/>
      <c r="BU38" s="272"/>
      <c r="BV38" s="272"/>
      <c r="CA38" s="272"/>
      <c r="CB38" s="272"/>
      <c r="CC38" s="272"/>
      <c r="CD38" s="272"/>
      <c r="DF38" s="157">
        <f>DF27-DF37</f>
        <v>-3.671430000000015</v>
      </c>
    </row>
    <row r="39" spans="69:82" ht="12.75">
      <c r="BQ39" s="272"/>
      <c r="BR39" s="272"/>
      <c r="BS39" s="272"/>
      <c r="BT39" s="272"/>
      <c r="BU39" s="272"/>
      <c r="BV39" s="272"/>
      <c r="CA39" s="272"/>
      <c r="CB39" s="272"/>
      <c r="CC39" s="272"/>
      <c r="CD39" s="272"/>
    </row>
    <row r="40" spans="69:110" ht="12.75">
      <c r="BQ40" s="272"/>
      <c r="BR40" s="272"/>
      <c r="BS40" s="272"/>
      <c r="BT40" s="272"/>
      <c r="BU40" s="272"/>
      <c r="BV40" s="272"/>
      <c r="CA40" s="272"/>
      <c r="CB40" s="272"/>
      <c r="CC40" s="272"/>
      <c r="CD40" s="272"/>
      <c r="DF40" s="157">
        <f>51.06-DF21</f>
        <v>2.4192450000000036</v>
      </c>
    </row>
    <row r="41" spans="69:110" ht="12.75">
      <c r="BQ41" s="272"/>
      <c r="BR41" s="272"/>
      <c r="BS41" s="272"/>
      <c r="BT41" s="272"/>
      <c r="BU41" s="272"/>
      <c r="BV41" s="272"/>
      <c r="DF41" s="157">
        <f>57.93-DF22</f>
        <v>-0.1785098000000005</v>
      </c>
    </row>
    <row r="42" spans="69:74" ht="12.75">
      <c r="BQ42" s="272"/>
      <c r="BR42" s="272"/>
      <c r="BS42" s="272"/>
      <c r="BT42" s="272"/>
      <c r="BU42" s="272"/>
      <c r="BV42" s="272"/>
    </row>
    <row r="43" spans="69:107" ht="12.75">
      <c r="BQ43" s="272"/>
      <c r="BR43" s="272"/>
      <c r="BS43" s="272"/>
      <c r="BT43" s="272"/>
      <c r="BU43" s="272"/>
      <c r="BV43" s="272"/>
      <c r="DC43" s="114">
        <f>2183.45-1036.18</f>
        <v>1147.2699999999998</v>
      </c>
    </row>
    <row r="44" spans="69:107" ht="12.75">
      <c r="BQ44" s="272"/>
      <c r="BR44" s="272"/>
      <c r="BS44" s="272"/>
      <c r="BT44" s="272"/>
      <c r="BU44" s="272"/>
      <c r="BV44" s="272"/>
      <c r="DC44" s="114">
        <f>2579.79-1091.06</f>
        <v>1488.73</v>
      </c>
    </row>
    <row r="45" ht="12.75">
      <c r="DC45" s="114">
        <f>3002.59-1156.17</f>
        <v>1846.42</v>
      </c>
    </row>
    <row r="46" spans="70:107" ht="12.75">
      <c r="BR46" s="272"/>
      <c r="BS46" s="157"/>
      <c r="BT46" s="157"/>
      <c r="DC46" s="114">
        <f>924.06+112.02</f>
        <v>1036.08</v>
      </c>
    </row>
    <row r="47" spans="70:107" ht="12.75">
      <c r="BR47" s="272"/>
      <c r="BS47" s="157"/>
      <c r="BT47" s="157"/>
      <c r="DC47" s="114">
        <f>DC46+54.88</f>
        <v>1090.96</v>
      </c>
    </row>
    <row r="48" spans="70:107" ht="12.75">
      <c r="BR48" s="272"/>
      <c r="BS48" s="157"/>
      <c r="BT48" s="157"/>
      <c r="DC48" s="114">
        <f>1091+65.11</f>
        <v>1156.11</v>
      </c>
    </row>
    <row r="49" spans="70:72" ht="12.75">
      <c r="BR49" s="272"/>
      <c r="BS49" s="157"/>
      <c r="BT49" s="157"/>
    </row>
    <row r="50" spans="70:72" ht="12.75">
      <c r="BR50" s="272"/>
      <c r="BS50" s="157"/>
      <c r="BT50" s="157"/>
    </row>
    <row r="51" spans="70:72" ht="12.75">
      <c r="BR51" s="272"/>
      <c r="BS51" s="157"/>
      <c r="BT51" s="157"/>
    </row>
    <row r="52" spans="70:72" ht="12.75">
      <c r="BR52" s="272"/>
      <c r="BS52" s="157"/>
      <c r="BT52" s="157"/>
    </row>
    <row r="53" spans="70:72" ht="12.75">
      <c r="BR53" s="272"/>
      <c r="BS53" s="157"/>
      <c r="BT53" s="157"/>
    </row>
    <row r="54" spans="70:72" ht="12.75">
      <c r="BR54" s="272"/>
      <c r="BS54" s="272"/>
      <c r="BT54" s="272"/>
    </row>
  </sheetData>
  <sheetProtection/>
  <mergeCells count="51">
    <mergeCell ref="EF13:EI13"/>
    <mergeCell ref="DS12:EA12"/>
    <mergeCell ref="DS13:DV13"/>
    <mergeCell ref="DW13:DZ13"/>
    <mergeCell ref="K13:M13"/>
    <mergeCell ref="G12:N12"/>
    <mergeCell ref="O12:W12"/>
    <mergeCell ref="AB13:AE13"/>
    <mergeCell ref="G13:J13"/>
    <mergeCell ref="X12:AF12"/>
    <mergeCell ref="O13:R13"/>
    <mergeCell ref="S13:V13"/>
    <mergeCell ref="X13:AA13"/>
    <mergeCell ref="AG12:AO12"/>
    <mergeCell ref="AP12:AX12"/>
    <mergeCell ref="BC13:BF13"/>
    <mergeCell ref="AY13:BB13"/>
    <mergeCell ref="AT13:AW13"/>
    <mergeCell ref="AG13:AJ13"/>
    <mergeCell ref="AP13:AS13"/>
    <mergeCell ref="AK13:AN13"/>
    <mergeCell ref="BL13:BO13"/>
    <mergeCell ref="BH12:BP12"/>
    <mergeCell ref="BH13:BK13"/>
    <mergeCell ref="AY12:BG12"/>
    <mergeCell ref="DJ12:DR12"/>
    <mergeCell ref="DJ13:DM13"/>
    <mergeCell ref="DN13:DQ13"/>
    <mergeCell ref="BQ12:BY12"/>
    <mergeCell ref="CD13:CG13"/>
    <mergeCell ref="BZ13:CC13"/>
    <mergeCell ref="BU13:BX13"/>
    <mergeCell ref="BQ13:BT13"/>
    <mergeCell ref="BZ12:CH12"/>
    <mergeCell ref="DA13:DD13"/>
    <mergeCell ref="CI12:CQ12"/>
    <mergeCell ref="CI13:CL13"/>
    <mergeCell ref="CM13:CP13"/>
    <mergeCell ref="DA12:DI12"/>
    <mergeCell ref="CV13:CY13"/>
    <mergeCell ref="DE13:DH13"/>
    <mergeCell ref="CR12:CZ12"/>
    <mergeCell ref="CR13:CU13"/>
    <mergeCell ref="ET12:FB12"/>
    <mergeCell ref="ET13:EW13"/>
    <mergeCell ref="EX13:FA13"/>
    <mergeCell ref="EK12:ES12"/>
    <mergeCell ref="EK13:EN13"/>
    <mergeCell ref="EO13:ER13"/>
    <mergeCell ref="EB12:EJ12"/>
    <mergeCell ref="EB13:EE13"/>
  </mergeCells>
  <printOptions/>
  <pageMargins left="0.63" right="0.75" top="0.47" bottom="0.27" header="0.25" footer="0.17"/>
  <pageSetup fitToHeight="3" fitToWidth="0" horizontalDpi="180" verticalDpi="180" orientation="landscape" paperSize="9" scale="90" r:id="rId3"/>
  <colBreaks count="4" manualBreakCount="4">
    <brk id="104" min="1" max="33" man="1"/>
    <brk id="113" min="1" max="33" man="1"/>
    <brk id="122" min="1" max="33" man="1"/>
    <brk id="140" min="1" max="33" man="1"/>
  </colBreaks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2:AF36"/>
  <sheetViews>
    <sheetView zoomScalePageLayoutView="0" workbookViewId="0" topLeftCell="A7">
      <pane xSplit="4" ySplit="11" topLeftCell="E18" activePane="bottomRight" state="frozen"/>
      <selection pane="topLeft" activeCell="A7" sqref="A7"/>
      <selection pane="topRight" activeCell="E7" sqref="E7"/>
      <selection pane="bottomLeft" activeCell="A14" sqref="A14"/>
      <selection pane="bottomRight" activeCell="H16" sqref="H16"/>
    </sheetView>
  </sheetViews>
  <sheetFormatPr defaultColWidth="9.140625" defaultRowHeight="12.75"/>
  <cols>
    <col min="1" max="1" width="24.7109375" style="114" customWidth="1"/>
    <col min="2" max="2" width="10.8515625" style="114" hidden="1" customWidth="1"/>
    <col min="3" max="3" width="10.57421875" style="114" hidden="1" customWidth="1"/>
    <col min="4" max="4" width="12.57421875" style="114" hidden="1" customWidth="1"/>
    <col min="5" max="5" width="12.57421875" style="114" customWidth="1"/>
    <col min="6" max="6" width="13.421875" style="114" customWidth="1"/>
    <col min="7" max="7" width="11.140625" style="114" customWidth="1"/>
    <col min="8" max="8" width="9.140625" style="114" customWidth="1"/>
    <col min="9" max="9" width="13.00390625" style="114" customWidth="1"/>
    <col min="10" max="10" width="13.421875" style="114" customWidth="1"/>
    <col min="11" max="11" width="10.7109375" style="114" customWidth="1"/>
    <col min="12" max="12" width="9.140625" style="114" customWidth="1"/>
    <col min="13" max="13" width="12.421875" style="114" customWidth="1"/>
    <col min="14" max="14" width="13.7109375" style="114" customWidth="1"/>
    <col min="15" max="15" width="13.421875" style="114" customWidth="1"/>
    <col min="16" max="16" width="11.140625" style="114" customWidth="1"/>
    <col min="17" max="17" width="9.140625" style="114" customWidth="1"/>
    <col min="18" max="18" width="13.00390625" style="114" customWidth="1"/>
    <col min="19" max="19" width="13.421875" style="114" customWidth="1"/>
    <col min="20" max="20" width="10.7109375" style="114" customWidth="1"/>
    <col min="21" max="21" width="9.140625" style="114" customWidth="1"/>
    <col min="22" max="22" width="12.421875" style="114" customWidth="1"/>
    <col min="23" max="23" width="13.7109375" style="114" customWidth="1"/>
    <col min="24" max="24" width="13.421875" style="114" customWidth="1"/>
    <col min="25" max="25" width="11.140625" style="114" customWidth="1"/>
    <col min="26" max="26" width="9.140625" style="114" customWidth="1"/>
    <col min="27" max="27" width="13.00390625" style="114" customWidth="1"/>
    <col min="28" max="28" width="13.421875" style="114" customWidth="1"/>
    <col min="29" max="29" width="10.7109375" style="114" customWidth="1"/>
    <col min="30" max="30" width="9.140625" style="114" customWidth="1"/>
    <col min="31" max="31" width="12.421875" style="114" customWidth="1"/>
    <col min="32" max="32" width="13.7109375" style="114" customWidth="1"/>
    <col min="33" max="16384" width="9.140625" style="114" customWidth="1"/>
  </cols>
  <sheetData>
    <row r="2" spans="1:5" ht="12.75">
      <c r="A2" s="100" t="s">
        <v>540</v>
      </c>
      <c r="B2" s="9"/>
      <c r="C2" s="9"/>
      <c r="D2" s="9"/>
      <c r="E2" s="9"/>
    </row>
    <row r="3" spans="1:5" ht="12.75">
      <c r="A3" s="100"/>
      <c r="B3" s="9"/>
      <c r="C3" s="9"/>
      <c r="D3" s="9"/>
      <c r="E3" s="9"/>
    </row>
    <row r="4" spans="1:5" ht="12.75">
      <c r="A4" s="289" t="s">
        <v>861</v>
      </c>
      <c r="B4" s="234"/>
      <c r="C4" s="234"/>
      <c r="D4" s="234"/>
      <c r="E4" s="234"/>
    </row>
    <row r="5" spans="1:5" ht="12.75">
      <c r="A5" s="234"/>
      <c r="B5" s="234"/>
      <c r="C5" s="234"/>
      <c r="D5" s="234"/>
      <c r="E5" s="234"/>
    </row>
    <row r="6" spans="1:5" ht="12.75">
      <c r="A6" s="234"/>
      <c r="B6" s="234"/>
      <c r="C6" s="234"/>
      <c r="D6" s="234"/>
      <c r="E6" s="234"/>
    </row>
    <row r="7" spans="1:5" ht="12.75">
      <c r="A7" s="9" t="s">
        <v>1398</v>
      </c>
      <c r="D7" s="84"/>
      <c r="E7" s="85"/>
    </row>
    <row r="8" spans="22:31" ht="18" customHeight="1">
      <c r="V8" s="228"/>
      <c r="AE8" s="228"/>
    </row>
    <row r="9" spans="22:31" ht="18" customHeight="1" hidden="1">
      <c r="V9" s="228"/>
      <c r="AE9" s="228"/>
    </row>
    <row r="10" spans="22:31" ht="18" customHeight="1" hidden="1">
      <c r="V10" s="228"/>
      <c r="AE10" s="228"/>
    </row>
    <row r="11" spans="11:31" ht="18" customHeight="1">
      <c r="K11" s="228" t="s">
        <v>451</v>
      </c>
      <c r="T11" s="228" t="s">
        <v>451</v>
      </c>
      <c r="V11" s="228"/>
      <c r="AA11" s="228" t="s">
        <v>451</v>
      </c>
      <c r="AB11" s="228"/>
      <c r="AE11" s="228" t="s">
        <v>9</v>
      </c>
    </row>
    <row r="12" spans="1:32" ht="19.5" customHeight="1">
      <c r="A12" s="163" t="s">
        <v>561</v>
      </c>
      <c r="B12" s="295"/>
      <c r="C12" s="295"/>
      <c r="D12" s="295"/>
      <c r="E12" s="295"/>
      <c r="F12" s="578" t="s">
        <v>428</v>
      </c>
      <c r="G12" s="578"/>
      <c r="H12" s="578"/>
      <c r="I12" s="578"/>
      <c r="J12" s="578"/>
      <c r="K12" s="578"/>
      <c r="L12" s="578"/>
      <c r="M12" s="578"/>
      <c r="N12" s="578"/>
      <c r="O12" s="578" t="s">
        <v>1320</v>
      </c>
      <c r="P12" s="578"/>
      <c r="Q12" s="578"/>
      <c r="R12" s="578"/>
      <c r="S12" s="578"/>
      <c r="T12" s="578"/>
      <c r="U12" s="578"/>
      <c r="V12" s="578"/>
      <c r="W12" s="578"/>
      <c r="X12" s="578" t="s">
        <v>429</v>
      </c>
      <c r="Y12" s="578"/>
      <c r="Z12" s="578"/>
      <c r="AA12" s="578"/>
      <c r="AB12" s="578"/>
      <c r="AC12" s="578"/>
      <c r="AD12" s="578"/>
      <c r="AE12" s="578"/>
      <c r="AF12" s="578"/>
    </row>
    <row r="13" spans="2:32" ht="19.5" customHeight="1">
      <c r="B13" s="295"/>
      <c r="C13" s="295"/>
      <c r="D13" s="295"/>
      <c r="E13" s="295"/>
      <c r="F13" s="579" t="s">
        <v>564</v>
      </c>
      <c r="G13" s="580"/>
      <c r="H13" s="580"/>
      <c r="I13" s="581"/>
      <c r="J13" s="582" t="s">
        <v>565</v>
      </c>
      <c r="K13" s="583"/>
      <c r="L13" s="583"/>
      <c r="M13" s="584"/>
      <c r="N13" s="299" t="s">
        <v>566</v>
      </c>
      <c r="O13" s="579" t="s">
        <v>564</v>
      </c>
      <c r="P13" s="580"/>
      <c r="Q13" s="580"/>
      <c r="R13" s="581"/>
      <c r="S13" s="582" t="s">
        <v>565</v>
      </c>
      <c r="T13" s="583"/>
      <c r="U13" s="583"/>
      <c r="V13" s="584"/>
      <c r="W13" s="299" t="s">
        <v>566</v>
      </c>
      <c r="X13" s="579" t="s">
        <v>564</v>
      </c>
      <c r="Y13" s="580"/>
      <c r="Z13" s="580"/>
      <c r="AA13" s="581"/>
      <c r="AB13" s="582" t="s">
        <v>565</v>
      </c>
      <c r="AC13" s="583"/>
      <c r="AD13" s="583"/>
      <c r="AE13" s="584"/>
      <c r="AF13" s="299" t="s">
        <v>566</v>
      </c>
    </row>
    <row r="14" spans="1:32" ht="62.25" customHeight="1">
      <c r="A14" s="250" t="s">
        <v>1104</v>
      </c>
      <c r="B14" s="300" t="s">
        <v>1258</v>
      </c>
      <c r="C14" s="300" t="s">
        <v>1259</v>
      </c>
      <c r="D14" s="300" t="s">
        <v>734</v>
      </c>
      <c r="E14" s="300" t="s">
        <v>48</v>
      </c>
      <c r="F14" s="300" t="s">
        <v>1161</v>
      </c>
      <c r="G14" s="300" t="s">
        <v>610</v>
      </c>
      <c r="H14" s="300" t="s">
        <v>611</v>
      </c>
      <c r="I14" s="301" t="s">
        <v>1162</v>
      </c>
      <c r="J14" s="300" t="s">
        <v>1161</v>
      </c>
      <c r="K14" s="300" t="s">
        <v>552</v>
      </c>
      <c r="L14" s="300" t="s">
        <v>611</v>
      </c>
      <c r="M14" s="301" t="s">
        <v>1162</v>
      </c>
      <c r="N14" s="301" t="s">
        <v>504</v>
      </c>
      <c r="O14" s="300" t="s">
        <v>1321</v>
      </c>
      <c r="P14" s="300" t="s">
        <v>610</v>
      </c>
      <c r="Q14" s="300" t="s">
        <v>611</v>
      </c>
      <c r="R14" s="301" t="s">
        <v>1322</v>
      </c>
      <c r="S14" s="300" t="s">
        <v>1321</v>
      </c>
      <c r="T14" s="300" t="s">
        <v>552</v>
      </c>
      <c r="U14" s="300" t="s">
        <v>611</v>
      </c>
      <c r="V14" s="301" t="s">
        <v>1322</v>
      </c>
      <c r="W14" s="301" t="s">
        <v>1322</v>
      </c>
      <c r="X14" s="300" t="s">
        <v>430</v>
      </c>
      <c r="Y14" s="300" t="s">
        <v>610</v>
      </c>
      <c r="Z14" s="300" t="s">
        <v>611</v>
      </c>
      <c r="AA14" s="301" t="s">
        <v>431</v>
      </c>
      <c r="AB14" s="300" t="s">
        <v>430</v>
      </c>
      <c r="AC14" s="300" t="s">
        <v>552</v>
      </c>
      <c r="AD14" s="300" t="s">
        <v>611</v>
      </c>
      <c r="AE14" s="301" t="s">
        <v>431</v>
      </c>
      <c r="AF14" s="301" t="s">
        <v>431</v>
      </c>
    </row>
    <row r="15" spans="1:32" ht="20.25" customHeight="1">
      <c r="A15" s="161"/>
      <c r="B15" s="162"/>
      <c r="C15" s="162"/>
      <c r="D15" s="162"/>
      <c r="E15" s="162"/>
      <c r="F15" s="162">
        <v>1</v>
      </c>
      <c r="G15" s="162">
        <v>2</v>
      </c>
      <c r="H15" s="162">
        <v>3</v>
      </c>
      <c r="I15" s="162" t="s">
        <v>1260</v>
      </c>
      <c r="J15" s="162">
        <v>5</v>
      </c>
      <c r="K15" s="162">
        <v>6</v>
      </c>
      <c r="L15" s="162">
        <v>7</v>
      </c>
      <c r="M15" s="163" t="s">
        <v>1274</v>
      </c>
      <c r="N15" s="163" t="s">
        <v>1275</v>
      </c>
      <c r="O15" s="162">
        <v>1</v>
      </c>
      <c r="P15" s="162">
        <v>2</v>
      </c>
      <c r="Q15" s="162">
        <v>3</v>
      </c>
      <c r="R15" s="162" t="s">
        <v>1260</v>
      </c>
      <c r="S15" s="162">
        <v>5</v>
      </c>
      <c r="T15" s="162">
        <v>6</v>
      </c>
      <c r="U15" s="162">
        <v>7</v>
      </c>
      <c r="V15" s="163" t="s">
        <v>1274</v>
      </c>
      <c r="W15" s="163" t="s">
        <v>1275</v>
      </c>
      <c r="X15" s="162">
        <v>1</v>
      </c>
      <c r="Y15" s="162">
        <v>2</v>
      </c>
      <c r="Z15" s="162">
        <v>3</v>
      </c>
      <c r="AA15" s="162" t="s">
        <v>1260</v>
      </c>
      <c r="AB15" s="162">
        <v>5</v>
      </c>
      <c r="AC15" s="162">
        <v>6</v>
      </c>
      <c r="AD15" s="162">
        <v>7</v>
      </c>
      <c r="AE15" s="163" t="s">
        <v>1274</v>
      </c>
      <c r="AF15" s="163" t="s">
        <v>1275</v>
      </c>
    </row>
    <row r="16" spans="1:32" ht="14.25" customHeight="1">
      <c r="A16" s="536"/>
      <c r="B16" s="535"/>
      <c r="C16" s="532"/>
      <c r="D16" s="532"/>
      <c r="E16" s="532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</row>
    <row r="17" spans="1:5" ht="26.25" customHeight="1">
      <c r="A17" s="534" t="s">
        <v>1221</v>
      </c>
      <c r="B17" s="534"/>
      <c r="C17" s="534"/>
      <c r="D17" s="534"/>
      <c r="E17" s="534"/>
    </row>
    <row r="18" spans="1:32" ht="26.25" customHeight="1">
      <c r="A18" s="206" t="s">
        <v>567</v>
      </c>
      <c r="B18" s="426"/>
      <c r="C18" s="533"/>
      <c r="D18" s="533"/>
      <c r="E18" s="533"/>
      <c r="F18" s="72">
        <f>18.33+16.52</f>
        <v>34.849999999999994</v>
      </c>
      <c r="G18" s="58">
        <f>1.16+0.47</f>
        <v>1.63</v>
      </c>
      <c r="H18" s="72">
        <v>0</v>
      </c>
      <c r="I18" s="72">
        <f aca="true" t="shared" si="0" ref="I18:I25">F18+G18-H18</f>
        <v>36.48</v>
      </c>
      <c r="J18" s="72">
        <v>1.72</v>
      </c>
      <c r="K18" s="72">
        <v>0.16</v>
      </c>
      <c r="L18" s="72"/>
      <c r="M18" s="72">
        <f>J18+K18+L18</f>
        <v>1.88</v>
      </c>
      <c r="N18" s="169">
        <f aca="true" t="shared" si="1" ref="N18:N25">I18-M18</f>
        <v>34.599999999999994</v>
      </c>
      <c r="O18" s="72">
        <f aca="true" t="shared" si="2" ref="O18:O25">I18</f>
        <v>36.48</v>
      </c>
      <c r="P18" s="58">
        <f aca="true" t="shared" si="3" ref="P18:P25">O18/O$27*416.57</f>
        <v>5.188067952149449</v>
      </c>
      <c r="Q18" s="72">
        <v>0</v>
      </c>
      <c r="R18" s="72">
        <f aca="true" t="shared" si="4" ref="R18:R25">O18+P18-Q18</f>
        <v>41.66806795214944</v>
      </c>
      <c r="S18" s="72">
        <f aca="true" t="shared" si="5" ref="S18:S26">M18</f>
        <v>1.88</v>
      </c>
      <c r="T18" s="72">
        <f aca="true" t="shared" si="6" ref="T18:T25">O18*$E18</f>
        <v>0</v>
      </c>
      <c r="U18" s="72"/>
      <c r="V18" s="72">
        <f aca="true" t="shared" si="7" ref="V18:V25">S18+T18-U18</f>
        <v>1.88</v>
      </c>
      <c r="W18" s="169">
        <f aca="true" t="shared" si="8" ref="W18:W25">R18-V18</f>
        <v>39.78806795214944</v>
      </c>
      <c r="X18" s="72">
        <f aca="true" t="shared" si="9" ref="X18:X25">R18</f>
        <v>41.66806795214944</v>
      </c>
      <c r="Y18" s="58">
        <f aca="true" t="shared" si="10" ref="Y18:Y25">X18/X$27*444.52</f>
        <v>5.536164308734362</v>
      </c>
      <c r="Z18" s="72">
        <v>0</v>
      </c>
      <c r="AA18" s="72">
        <f aca="true" t="shared" si="11" ref="AA18:AA25">X18+Y18-Z18</f>
        <v>47.204232260883806</v>
      </c>
      <c r="AB18" s="72">
        <f aca="true" t="shared" si="12" ref="AB18:AB26">V18</f>
        <v>1.88</v>
      </c>
      <c r="AC18" s="72">
        <f aca="true" t="shared" si="13" ref="AC18:AC25">X18*$E18</f>
        <v>0</v>
      </c>
      <c r="AD18" s="72"/>
      <c r="AE18" s="72">
        <f aca="true" t="shared" si="14" ref="AE18:AE25">AB18+AC18-AD18</f>
        <v>1.88</v>
      </c>
      <c r="AF18" s="169">
        <f aca="true" t="shared" si="15" ref="AF18:AF25">AA18-AE18</f>
        <v>45.324232260883804</v>
      </c>
    </row>
    <row r="19" spans="1:32" ht="26.25" customHeight="1">
      <c r="A19" s="79" t="s">
        <v>568</v>
      </c>
      <c r="B19" s="266">
        <v>0.018</v>
      </c>
      <c r="C19" s="167">
        <v>50</v>
      </c>
      <c r="D19" s="168">
        <v>0.0302</v>
      </c>
      <c r="E19" s="266">
        <v>0.0334</v>
      </c>
      <c r="F19" s="72">
        <v>78.14</v>
      </c>
      <c r="G19" s="58">
        <v>0.5</v>
      </c>
      <c r="H19" s="72">
        <v>0</v>
      </c>
      <c r="I19" s="72">
        <f t="shared" si="0"/>
        <v>78.64</v>
      </c>
      <c r="J19" s="72">
        <v>20.39</v>
      </c>
      <c r="K19" s="72">
        <v>1.28</v>
      </c>
      <c r="L19" s="72">
        <f>37857/10^7</f>
        <v>0.0037857</v>
      </c>
      <c r="M19" s="72">
        <f>J19+K19+L19</f>
        <v>21.673785700000003</v>
      </c>
      <c r="N19" s="169">
        <f t="shared" si="1"/>
        <v>56.9662143</v>
      </c>
      <c r="O19" s="72">
        <f t="shared" si="2"/>
        <v>78.64</v>
      </c>
      <c r="P19" s="58">
        <f t="shared" si="3"/>
        <v>11.18392718632217</v>
      </c>
      <c r="Q19" s="72">
        <v>0</v>
      </c>
      <c r="R19" s="72">
        <f t="shared" si="4"/>
        <v>89.82392718632217</v>
      </c>
      <c r="S19" s="72">
        <f t="shared" si="5"/>
        <v>21.673785700000003</v>
      </c>
      <c r="T19" s="72">
        <f t="shared" si="6"/>
        <v>2.626576</v>
      </c>
      <c r="U19" s="72"/>
      <c r="V19" s="72">
        <f t="shared" si="7"/>
        <v>24.300361700000003</v>
      </c>
      <c r="W19" s="169">
        <f t="shared" si="8"/>
        <v>65.52356548632216</v>
      </c>
      <c r="X19" s="72">
        <f t="shared" si="9"/>
        <v>89.82392718632217</v>
      </c>
      <c r="Y19" s="58">
        <f t="shared" si="10"/>
        <v>11.934319112907628</v>
      </c>
      <c r="Z19" s="72">
        <v>0</v>
      </c>
      <c r="AA19" s="72">
        <f t="shared" si="11"/>
        <v>101.7582462992298</v>
      </c>
      <c r="AB19" s="72">
        <f t="shared" si="12"/>
        <v>24.300361700000003</v>
      </c>
      <c r="AC19" s="72">
        <f t="shared" si="13"/>
        <v>3.0001191680231605</v>
      </c>
      <c r="AD19" s="72"/>
      <c r="AE19" s="72">
        <f t="shared" si="14"/>
        <v>27.300480868023165</v>
      </c>
      <c r="AF19" s="169">
        <f t="shared" si="15"/>
        <v>74.45776543120664</v>
      </c>
    </row>
    <row r="20" spans="1:32" ht="26.25" customHeight="1">
      <c r="A20" s="76" t="s">
        <v>52</v>
      </c>
      <c r="B20" s="266">
        <v>0.018</v>
      </c>
      <c r="C20" s="167">
        <v>50</v>
      </c>
      <c r="D20" s="168">
        <v>0.0302</v>
      </c>
      <c r="E20" s="266">
        <v>0.0334</v>
      </c>
      <c r="F20" s="72">
        <v>4.29</v>
      </c>
      <c r="G20" s="58">
        <v>0.5</v>
      </c>
      <c r="H20" s="72">
        <v>0</v>
      </c>
      <c r="I20" s="72">
        <f t="shared" si="0"/>
        <v>4.79</v>
      </c>
      <c r="J20" s="72">
        <v>1.31</v>
      </c>
      <c r="K20" s="72">
        <v>0.16</v>
      </c>
      <c r="L20" s="72">
        <v>0</v>
      </c>
      <c r="M20" s="72">
        <f>J20+K20+L20</f>
        <v>1.47</v>
      </c>
      <c r="N20" s="169">
        <f t="shared" si="1"/>
        <v>3.3200000000000003</v>
      </c>
      <c r="O20" s="72">
        <f t="shared" si="2"/>
        <v>4.79</v>
      </c>
      <c r="P20" s="58">
        <f t="shared" si="3"/>
        <v>0.6812183522696236</v>
      </c>
      <c r="Q20" s="72">
        <v>0</v>
      </c>
      <c r="R20" s="72">
        <f t="shared" si="4"/>
        <v>5.471218352269624</v>
      </c>
      <c r="S20" s="72">
        <f t="shared" si="5"/>
        <v>1.47</v>
      </c>
      <c r="T20" s="72">
        <f t="shared" si="6"/>
        <v>0.159986</v>
      </c>
      <c r="U20" s="72"/>
      <c r="V20" s="72">
        <f t="shared" si="7"/>
        <v>1.629986</v>
      </c>
      <c r="W20" s="169">
        <f t="shared" si="8"/>
        <v>3.841232352269624</v>
      </c>
      <c r="X20" s="72">
        <f t="shared" si="9"/>
        <v>5.471218352269624</v>
      </c>
      <c r="Y20" s="58">
        <f t="shared" si="10"/>
        <v>0.7269250833014693</v>
      </c>
      <c r="Z20" s="72">
        <v>0</v>
      </c>
      <c r="AA20" s="72">
        <f t="shared" si="11"/>
        <v>6.198143435571093</v>
      </c>
      <c r="AB20" s="72">
        <f t="shared" si="12"/>
        <v>1.629986</v>
      </c>
      <c r="AC20" s="72">
        <f t="shared" si="13"/>
        <v>0.18273869296580542</v>
      </c>
      <c r="AD20" s="72"/>
      <c r="AE20" s="72">
        <f t="shared" si="14"/>
        <v>1.8127246929658054</v>
      </c>
      <c r="AF20" s="169">
        <f t="shared" si="15"/>
        <v>4.385418742605287</v>
      </c>
    </row>
    <row r="21" spans="1:32" ht="26.25" customHeight="1">
      <c r="A21" s="76" t="s">
        <v>570</v>
      </c>
      <c r="B21" s="266">
        <v>0.0257</v>
      </c>
      <c r="C21" s="167">
        <v>35</v>
      </c>
      <c r="D21" s="168">
        <v>0.0784</v>
      </c>
      <c r="E21" s="266">
        <v>0.0528</v>
      </c>
      <c r="F21" s="72">
        <v>1277.04</v>
      </c>
      <c r="G21" s="58">
        <f>51.41+58.75</f>
        <v>110.16</v>
      </c>
      <c r="H21" s="72">
        <v>0</v>
      </c>
      <c r="I21" s="72">
        <f t="shared" si="0"/>
        <v>1387.2</v>
      </c>
      <c r="J21" s="72">
        <v>632.96</v>
      </c>
      <c r="K21" s="72">
        <f>48.87+0.83</f>
        <v>49.699999999999996</v>
      </c>
      <c r="L21" s="72">
        <v>3.5</v>
      </c>
      <c r="M21" s="72">
        <f>J21+K21+L21+0.01</f>
        <v>686.1700000000001</v>
      </c>
      <c r="N21" s="169">
        <f t="shared" si="1"/>
        <v>701.03</v>
      </c>
      <c r="O21" s="72">
        <f t="shared" si="2"/>
        <v>1387.2</v>
      </c>
      <c r="P21" s="58">
        <f t="shared" si="3"/>
        <v>197.28311028568305</v>
      </c>
      <c r="Q21" s="72">
        <v>0</v>
      </c>
      <c r="R21" s="72">
        <f t="shared" si="4"/>
        <v>1584.483110285683</v>
      </c>
      <c r="S21" s="72">
        <f t="shared" si="5"/>
        <v>686.1700000000001</v>
      </c>
      <c r="T21" s="72">
        <f t="shared" si="6"/>
        <v>73.24416000000001</v>
      </c>
      <c r="U21" s="72"/>
      <c r="V21" s="72">
        <f t="shared" si="7"/>
        <v>759.41416</v>
      </c>
      <c r="W21" s="169">
        <f t="shared" si="8"/>
        <v>825.0689502856831</v>
      </c>
      <c r="X21" s="72">
        <f t="shared" si="9"/>
        <v>1584.483110285683</v>
      </c>
      <c r="Y21" s="58">
        <f t="shared" si="10"/>
        <v>210.5199322663462</v>
      </c>
      <c r="Z21" s="72">
        <v>0</v>
      </c>
      <c r="AA21" s="72">
        <f t="shared" si="11"/>
        <v>1795.0030425520292</v>
      </c>
      <c r="AB21" s="72">
        <f t="shared" si="12"/>
        <v>759.41416</v>
      </c>
      <c r="AC21" s="72">
        <f t="shared" si="13"/>
        <v>83.66070822308407</v>
      </c>
      <c r="AD21" s="72"/>
      <c r="AE21" s="72">
        <f t="shared" si="14"/>
        <v>843.0748682230841</v>
      </c>
      <c r="AF21" s="169">
        <f t="shared" si="15"/>
        <v>951.9281743289451</v>
      </c>
    </row>
    <row r="22" spans="1:32" ht="26.25" customHeight="1">
      <c r="A22" s="76" t="s">
        <v>53</v>
      </c>
      <c r="B22" s="266">
        <v>0.0257</v>
      </c>
      <c r="C22" s="167">
        <v>35</v>
      </c>
      <c r="D22" s="168">
        <v>0.0527</v>
      </c>
      <c r="E22" s="266">
        <v>0.0528</v>
      </c>
      <c r="F22" s="72">
        <v>1385.98</v>
      </c>
      <c r="G22" s="58">
        <v>19.94</v>
      </c>
      <c r="H22" s="72">
        <v>0</v>
      </c>
      <c r="I22" s="72">
        <f t="shared" si="0"/>
        <v>1405.92</v>
      </c>
      <c r="J22" s="72">
        <v>711.07</v>
      </c>
      <c r="K22" s="72">
        <v>72.63</v>
      </c>
      <c r="L22" s="72">
        <v>-0.06</v>
      </c>
      <c r="M22" s="72">
        <f>J22+K22+L22</f>
        <v>783.6400000000001</v>
      </c>
      <c r="N22" s="169">
        <f t="shared" si="1"/>
        <v>622.28</v>
      </c>
      <c r="O22" s="72">
        <f t="shared" si="2"/>
        <v>1405.92</v>
      </c>
      <c r="P22" s="58">
        <f t="shared" si="3"/>
        <v>199.94540831375974</v>
      </c>
      <c r="Q22" s="72">
        <v>0</v>
      </c>
      <c r="R22" s="72">
        <f t="shared" si="4"/>
        <v>1605.8654083137599</v>
      </c>
      <c r="S22" s="72">
        <f t="shared" si="5"/>
        <v>783.6400000000001</v>
      </c>
      <c r="T22" s="72">
        <f t="shared" si="6"/>
        <v>74.23257600000001</v>
      </c>
      <c r="U22" s="72"/>
      <c r="V22" s="72">
        <f t="shared" si="7"/>
        <v>857.8725760000001</v>
      </c>
      <c r="W22" s="169">
        <f t="shared" si="8"/>
        <v>747.9928323137598</v>
      </c>
      <c r="X22" s="72">
        <f t="shared" si="9"/>
        <v>1605.8654083137599</v>
      </c>
      <c r="Y22" s="58">
        <f t="shared" si="10"/>
        <v>213.3608586879336</v>
      </c>
      <c r="Z22" s="72">
        <v>0</v>
      </c>
      <c r="AA22" s="72">
        <f t="shared" si="11"/>
        <v>1819.2262670016935</v>
      </c>
      <c r="AB22" s="72">
        <f t="shared" si="12"/>
        <v>857.8725760000001</v>
      </c>
      <c r="AC22" s="72">
        <f t="shared" si="13"/>
        <v>84.78969355896652</v>
      </c>
      <c r="AD22" s="72"/>
      <c r="AE22" s="72">
        <f t="shared" si="14"/>
        <v>942.6622695589666</v>
      </c>
      <c r="AF22" s="169">
        <f t="shared" si="15"/>
        <v>876.5639974427269</v>
      </c>
    </row>
    <row r="23" spans="1:32" ht="26.25" customHeight="1">
      <c r="A23" s="79" t="s">
        <v>571</v>
      </c>
      <c r="B23" s="266">
        <v>0.1286</v>
      </c>
      <c r="C23" s="167">
        <v>7</v>
      </c>
      <c r="D23" s="168">
        <v>0.334</v>
      </c>
      <c r="E23" s="168">
        <v>0.095</v>
      </c>
      <c r="F23" s="72">
        <v>1.5</v>
      </c>
      <c r="G23" s="58">
        <v>0</v>
      </c>
      <c r="H23" s="72">
        <v>0</v>
      </c>
      <c r="I23" s="72">
        <f t="shared" si="0"/>
        <v>1.5</v>
      </c>
      <c r="J23" s="72">
        <v>1.15</v>
      </c>
      <c r="K23" s="72">
        <v>0.03</v>
      </c>
      <c r="L23" s="72">
        <v>0</v>
      </c>
      <c r="M23" s="72">
        <f>J23+K23+L23</f>
        <v>1.18</v>
      </c>
      <c r="N23" s="169">
        <f t="shared" si="1"/>
        <v>0.32000000000000006</v>
      </c>
      <c r="O23" s="72">
        <f t="shared" si="2"/>
        <v>1.5</v>
      </c>
      <c r="P23" s="58">
        <f t="shared" si="3"/>
        <v>0.21332516250614517</v>
      </c>
      <c r="Q23" s="72">
        <v>0</v>
      </c>
      <c r="R23" s="72">
        <f t="shared" si="4"/>
        <v>1.7133251625061452</v>
      </c>
      <c r="S23" s="72">
        <f t="shared" si="5"/>
        <v>1.18</v>
      </c>
      <c r="T23" s="72">
        <f t="shared" si="6"/>
        <v>0.14250000000000002</v>
      </c>
      <c r="U23" s="72"/>
      <c r="V23" s="72">
        <f t="shared" si="7"/>
        <v>1.3225</v>
      </c>
      <c r="W23" s="169">
        <f t="shared" si="8"/>
        <v>0.3908251625061452</v>
      </c>
      <c r="X23" s="72">
        <f t="shared" si="9"/>
        <v>1.7133251625061452</v>
      </c>
      <c r="Y23" s="58">
        <f t="shared" si="10"/>
        <v>0.22763833506309064</v>
      </c>
      <c r="Z23" s="72">
        <v>0</v>
      </c>
      <c r="AA23" s="72">
        <f t="shared" si="11"/>
        <v>1.9409634975692358</v>
      </c>
      <c r="AB23" s="72">
        <f t="shared" si="12"/>
        <v>1.3225</v>
      </c>
      <c r="AC23" s="72">
        <f t="shared" si="13"/>
        <v>0.1627658904380838</v>
      </c>
      <c r="AD23" s="72"/>
      <c r="AE23" s="72">
        <f t="shared" si="14"/>
        <v>1.4852658904380838</v>
      </c>
      <c r="AF23" s="169">
        <f t="shared" si="15"/>
        <v>0.45569760713115204</v>
      </c>
    </row>
    <row r="24" spans="1:32" ht="26.25" customHeight="1">
      <c r="A24" s="79" t="s">
        <v>572</v>
      </c>
      <c r="B24" s="266">
        <v>0.0455</v>
      </c>
      <c r="C24" s="167">
        <v>20</v>
      </c>
      <c r="D24" s="168">
        <v>0.1277</v>
      </c>
      <c r="E24" s="168">
        <v>0.0633</v>
      </c>
      <c r="F24" s="72">
        <v>2.27</v>
      </c>
      <c r="G24" s="58">
        <v>0.3</v>
      </c>
      <c r="H24" s="72">
        <v>0</v>
      </c>
      <c r="I24" s="72">
        <f t="shared" si="0"/>
        <v>2.57</v>
      </c>
      <c r="J24" s="72">
        <v>1.54</v>
      </c>
      <c r="K24" s="72">
        <f>569612/10^7</f>
        <v>0.0569612</v>
      </c>
      <c r="L24" s="72">
        <v>0</v>
      </c>
      <c r="M24" s="72">
        <f>J24+K24+L24</f>
        <v>1.5969612</v>
      </c>
      <c r="N24" s="169">
        <f t="shared" si="1"/>
        <v>0.9730387999999999</v>
      </c>
      <c r="O24" s="72">
        <f t="shared" si="2"/>
        <v>2.57</v>
      </c>
      <c r="P24" s="58">
        <f t="shared" si="3"/>
        <v>0.3654971117605287</v>
      </c>
      <c r="Q24" s="72">
        <v>0</v>
      </c>
      <c r="R24" s="72">
        <f t="shared" si="4"/>
        <v>2.9354971117605286</v>
      </c>
      <c r="S24" s="72">
        <f t="shared" si="5"/>
        <v>1.5969612</v>
      </c>
      <c r="T24" s="72">
        <f t="shared" si="6"/>
        <v>0.16268099999999996</v>
      </c>
      <c r="U24" s="72"/>
      <c r="V24" s="72">
        <f t="shared" si="7"/>
        <v>1.7596422</v>
      </c>
      <c r="W24" s="169">
        <f t="shared" si="8"/>
        <v>1.1758549117605286</v>
      </c>
      <c r="X24" s="72">
        <f t="shared" si="9"/>
        <v>2.9354971117605286</v>
      </c>
      <c r="Y24" s="58">
        <f t="shared" si="10"/>
        <v>0.3900203474080952</v>
      </c>
      <c r="Z24" s="72">
        <v>0</v>
      </c>
      <c r="AA24" s="72">
        <f t="shared" si="11"/>
        <v>3.3255174591686236</v>
      </c>
      <c r="AB24" s="72">
        <f t="shared" si="12"/>
        <v>1.7596422</v>
      </c>
      <c r="AC24" s="72">
        <f t="shared" si="13"/>
        <v>0.18581696717444146</v>
      </c>
      <c r="AD24" s="72"/>
      <c r="AE24" s="72">
        <f t="shared" si="14"/>
        <v>1.9454591671744415</v>
      </c>
      <c r="AF24" s="169">
        <f t="shared" si="15"/>
        <v>1.3800582919941822</v>
      </c>
    </row>
    <row r="25" spans="1:32" ht="26.25" customHeight="1">
      <c r="A25" s="79" t="s">
        <v>573</v>
      </c>
      <c r="B25" s="266">
        <v>0.09</v>
      </c>
      <c r="C25" s="167">
        <v>10</v>
      </c>
      <c r="D25" s="168">
        <v>0.1277</v>
      </c>
      <c r="E25" s="168">
        <v>0.0633</v>
      </c>
      <c r="F25" s="72">
        <v>9.47</v>
      </c>
      <c r="G25" s="58">
        <v>2.55</v>
      </c>
      <c r="H25" s="72">
        <v>0</v>
      </c>
      <c r="I25" s="72">
        <f t="shared" si="0"/>
        <v>12.02</v>
      </c>
      <c r="J25" s="72">
        <v>5.73</v>
      </c>
      <c r="K25" s="72">
        <v>1.66</v>
      </c>
      <c r="L25" s="72">
        <v>0.11</v>
      </c>
      <c r="M25" s="72">
        <f>J25+K25+L25</f>
        <v>7.500000000000001</v>
      </c>
      <c r="N25" s="169">
        <f t="shared" si="1"/>
        <v>4.519999999999999</v>
      </c>
      <c r="O25" s="72">
        <f t="shared" si="2"/>
        <v>12.02</v>
      </c>
      <c r="P25" s="58">
        <f t="shared" si="3"/>
        <v>1.7094456355492433</v>
      </c>
      <c r="Q25" s="72">
        <v>0</v>
      </c>
      <c r="R25" s="72">
        <f t="shared" si="4"/>
        <v>13.729445635549244</v>
      </c>
      <c r="S25" s="72">
        <f t="shared" si="5"/>
        <v>7.500000000000001</v>
      </c>
      <c r="T25" s="72">
        <f t="shared" si="6"/>
        <v>0.7608659999999999</v>
      </c>
      <c r="U25" s="72"/>
      <c r="V25" s="72">
        <f t="shared" si="7"/>
        <v>8.260866</v>
      </c>
      <c r="W25" s="169">
        <f t="shared" si="8"/>
        <v>5.4685796355492435</v>
      </c>
      <c r="X25" s="72">
        <f t="shared" si="9"/>
        <v>13.729445635549244</v>
      </c>
      <c r="Y25" s="58">
        <f t="shared" si="10"/>
        <v>1.824141858305566</v>
      </c>
      <c r="Z25" s="72">
        <v>0</v>
      </c>
      <c r="AA25" s="72">
        <f t="shared" si="11"/>
        <v>15.55358749385481</v>
      </c>
      <c r="AB25" s="72">
        <f t="shared" si="12"/>
        <v>8.260866</v>
      </c>
      <c r="AC25" s="72">
        <f t="shared" si="13"/>
        <v>0.869073908730267</v>
      </c>
      <c r="AD25" s="72"/>
      <c r="AE25" s="72">
        <f t="shared" si="14"/>
        <v>9.129939908730266</v>
      </c>
      <c r="AF25" s="169">
        <f t="shared" si="15"/>
        <v>6.423647585124543</v>
      </c>
    </row>
    <row r="26" spans="1:32" ht="26.25" customHeight="1">
      <c r="A26" s="79"/>
      <c r="B26" s="162"/>
      <c r="C26" s="167"/>
      <c r="D26" s="168"/>
      <c r="E26" s="168"/>
      <c r="F26" s="72"/>
      <c r="G26" s="156"/>
      <c r="H26" s="72"/>
      <c r="I26" s="72"/>
      <c r="J26" s="72" t="e">
        <f>#REF!</f>
        <v>#REF!</v>
      </c>
      <c r="K26" s="72"/>
      <c r="L26" s="72"/>
      <c r="M26" s="72"/>
      <c r="N26" s="169"/>
      <c r="O26" s="72"/>
      <c r="P26" s="156"/>
      <c r="Q26" s="72"/>
      <c r="R26" s="72"/>
      <c r="S26" s="72">
        <f t="shared" si="5"/>
        <v>0</v>
      </c>
      <c r="T26" s="72"/>
      <c r="U26" s="72"/>
      <c r="V26" s="72"/>
      <c r="W26" s="169"/>
      <c r="X26" s="72"/>
      <c r="Y26" s="156"/>
      <c r="Z26" s="72"/>
      <c r="AA26" s="72"/>
      <c r="AB26" s="72">
        <f t="shared" si="12"/>
        <v>0</v>
      </c>
      <c r="AC26" s="72"/>
      <c r="AD26" s="72"/>
      <c r="AE26" s="72"/>
      <c r="AF26" s="169"/>
    </row>
    <row r="27" spans="1:32" ht="26.25" customHeight="1">
      <c r="A27" s="229" t="s">
        <v>398</v>
      </c>
      <c r="B27" s="66"/>
      <c r="C27" s="309"/>
      <c r="D27" s="309"/>
      <c r="E27" s="309"/>
      <c r="F27" s="66">
        <f>SUM(F18:F25)</f>
        <v>2793.54</v>
      </c>
      <c r="G27" s="66">
        <f>SUM(G18:G25)</f>
        <v>135.58</v>
      </c>
      <c r="H27" s="66">
        <f>SUM(H18:H25)</f>
        <v>0</v>
      </c>
      <c r="I27" s="66">
        <f aca="true" t="shared" si="16" ref="I27:AF27">SUM(I18:I25)</f>
        <v>2929.1200000000003</v>
      </c>
      <c r="J27" s="66">
        <f t="shared" si="16"/>
        <v>1375.8700000000001</v>
      </c>
      <c r="K27" s="66">
        <f t="shared" si="16"/>
        <v>125.6769612</v>
      </c>
      <c r="L27" s="66">
        <f t="shared" si="16"/>
        <v>3.5537856999999997</v>
      </c>
      <c r="M27" s="66">
        <f t="shared" si="16"/>
        <v>1505.1107469</v>
      </c>
      <c r="N27" s="66">
        <f t="shared" si="16"/>
        <v>1424.0092531</v>
      </c>
      <c r="O27" s="66">
        <f t="shared" si="16"/>
        <v>2929.1200000000003</v>
      </c>
      <c r="P27" s="66">
        <f t="shared" si="16"/>
        <v>416.56999999999994</v>
      </c>
      <c r="Q27" s="66">
        <f t="shared" si="16"/>
        <v>0</v>
      </c>
      <c r="R27" s="66">
        <f t="shared" si="16"/>
        <v>3345.69</v>
      </c>
      <c r="S27" s="66">
        <f t="shared" si="16"/>
        <v>1505.1107469</v>
      </c>
      <c r="T27" s="66">
        <f t="shared" si="16"/>
        <v>151.32934500000002</v>
      </c>
      <c r="U27" s="66">
        <f t="shared" si="16"/>
        <v>0</v>
      </c>
      <c r="V27" s="66">
        <f t="shared" si="16"/>
        <v>1656.4400919</v>
      </c>
      <c r="W27" s="66">
        <f t="shared" si="16"/>
        <v>1689.2499081</v>
      </c>
      <c r="X27" s="66">
        <f t="shared" si="16"/>
        <v>3345.69</v>
      </c>
      <c r="Y27" s="66">
        <f t="shared" si="16"/>
        <v>444.52</v>
      </c>
      <c r="Z27" s="66">
        <f t="shared" si="16"/>
        <v>0</v>
      </c>
      <c r="AA27" s="66">
        <f t="shared" si="16"/>
        <v>3790.2099999999996</v>
      </c>
      <c r="AB27" s="66">
        <f t="shared" si="16"/>
        <v>1656.4400919</v>
      </c>
      <c r="AC27" s="66">
        <f t="shared" si="16"/>
        <v>172.85091640938234</v>
      </c>
      <c r="AD27" s="66">
        <f t="shared" si="16"/>
        <v>0</v>
      </c>
      <c r="AE27" s="66">
        <f t="shared" si="16"/>
        <v>1829.2910083093825</v>
      </c>
      <c r="AF27" s="66">
        <f t="shared" si="16"/>
        <v>1960.9189916906175</v>
      </c>
    </row>
    <row r="28" spans="1:25" ht="12.75" hidden="1">
      <c r="A28" s="229"/>
      <c r="B28" s="229"/>
      <c r="C28" s="273"/>
      <c r="D28" s="273"/>
      <c r="E28" s="273"/>
      <c r="G28" s="282">
        <v>422.8</v>
      </c>
      <c r="P28" s="282">
        <v>422.8</v>
      </c>
      <c r="Y28" s="282">
        <v>422.8</v>
      </c>
    </row>
    <row r="30" spans="1:5" ht="12.75">
      <c r="A30" s="228" t="s">
        <v>456</v>
      </c>
      <c r="B30" s="228"/>
      <c r="C30" s="228"/>
      <c r="D30" s="228"/>
      <c r="E30" s="228"/>
    </row>
    <row r="31" ht="12.75">
      <c r="A31" s="114" t="s">
        <v>1122</v>
      </c>
    </row>
    <row r="32" ht="12.75">
      <c r="A32" s="114" t="s">
        <v>1380</v>
      </c>
    </row>
    <row r="33" ht="12.75">
      <c r="A33" s="114" t="s">
        <v>1067</v>
      </c>
    </row>
    <row r="34" ht="12.75">
      <c r="A34" s="114" t="s">
        <v>1381</v>
      </c>
    </row>
    <row r="35" spans="7:25" ht="12.75">
      <c r="G35" s="272"/>
      <c r="P35" s="272">
        <v>227.34</v>
      </c>
      <c r="Y35" s="272">
        <v>594.16</v>
      </c>
    </row>
    <row r="36" spans="7:25" ht="12.75">
      <c r="G36" s="157"/>
      <c r="P36" s="157">
        <f>P35-P27</f>
        <v>-189.22999999999993</v>
      </c>
      <c r="Y36" s="157">
        <f>Y35-Y27</f>
        <v>149.64</v>
      </c>
    </row>
  </sheetData>
  <sheetProtection/>
  <mergeCells count="9">
    <mergeCell ref="F12:N12"/>
    <mergeCell ref="F13:I13"/>
    <mergeCell ref="J13:M13"/>
    <mergeCell ref="X12:AF12"/>
    <mergeCell ref="X13:AA13"/>
    <mergeCell ref="AB13:AE13"/>
    <mergeCell ref="O12:W12"/>
    <mergeCell ref="O13:R13"/>
    <mergeCell ref="S13:V13"/>
  </mergeCells>
  <printOptions/>
  <pageMargins left="0.63" right="0.75" top="0.47" bottom="0.27" header="0.25" footer="0.17"/>
  <pageSetup fitToHeight="3" fitToWidth="0" horizontalDpi="180" verticalDpi="180" orientation="landscape" paperSize="9" scale="9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3:H19"/>
  <sheetViews>
    <sheetView zoomScalePageLayoutView="0" workbookViewId="0" topLeftCell="A11">
      <selection activeCell="H36" sqref="H36"/>
    </sheetView>
  </sheetViews>
  <sheetFormatPr defaultColWidth="9.140625" defaultRowHeight="12.75"/>
  <cols>
    <col min="1" max="1" width="6.57421875" style="45" customWidth="1"/>
    <col min="2" max="2" width="21.8515625" style="45" customWidth="1"/>
    <col min="3" max="5" width="21.8515625" style="45" hidden="1" customWidth="1"/>
    <col min="6" max="6" width="19.8515625" style="45" customWidth="1"/>
    <col min="7" max="7" width="19.57421875" style="45" customWidth="1"/>
    <col min="8" max="8" width="20.140625" style="45" customWidth="1"/>
    <col min="9" max="16384" width="9.140625" style="45" customWidth="1"/>
  </cols>
  <sheetData>
    <row r="1" ht="12.75"/>
    <row r="2" ht="12.75"/>
    <row r="3" spans="1:6" ht="12.75">
      <c r="A3" s="9" t="str">
        <f>'TRF-22'!A3</f>
        <v>Licencee : ….ODISHA POWER TRANSMISSION CORPORATION LIMITED.</v>
      </c>
      <c r="D3" s="84" t="s">
        <v>862</v>
      </c>
      <c r="E3" s="85" t="s">
        <v>943</v>
      </c>
      <c r="F3" s="85"/>
    </row>
    <row r="4" spans="3:6" ht="12.75">
      <c r="C4" s="93"/>
      <c r="D4" s="93"/>
      <c r="E4" s="93"/>
      <c r="F4" s="93" t="s">
        <v>938</v>
      </c>
    </row>
    <row r="5" spans="2:8" ht="12.75">
      <c r="B5" s="89" t="s">
        <v>1350</v>
      </c>
      <c r="C5" s="93"/>
      <c r="D5" s="93"/>
      <c r="E5" s="93"/>
      <c r="F5" s="93"/>
      <c r="H5" s="228" t="s">
        <v>50</v>
      </c>
    </row>
    <row r="6" spans="2:6" ht="12.75">
      <c r="B6" s="89" t="s">
        <v>1351</v>
      </c>
      <c r="C6" s="93"/>
      <c r="D6" s="93"/>
      <c r="E6" s="93"/>
      <c r="F6" s="93"/>
    </row>
    <row r="7" spans="2:8" ht="12.75">
      <c r="B7" s="89" t="s">
        <v>1394</v>
      </c>
      <c r="C7" s="93"/>
      <c r="D7" s="93"/>
      <c r="E7" s="93"/>
      <c r="F7" s="93"/>
      <c r="H7" s="228" t="s">
        <v>857</v>
      </c>
    </row>
    <row r="8" spans="3:6" ht="12.75">
      <c r="C8" s="93"/>
      <c r="D8" s="93"/>
      <c r="E8" s="93"/>
      <c r="F8" s="93"/>
    </row>
    <row r="9" spans="1:8" s="107" customFormat="1" ht="25.5">
      <c r="A9" s="17" t="s">
        <v>1194</v>
      </c>
      <c r="B9" s="115" t="s">
        <v>1104</v>
      </c>
      <c r="C9" s="116" t="s">
        <v>440</v>
      </c>
      <c r="D9" s="116" t="s">
        <v>442</v>
      </c>
      <c r="E9" s="116" t="s">
        <v>441</v>
      </c>
      <c r="F9" s="116" t="s">
        <v>1382</v>
      </c>
      <c r="G9" s="116" t="s">
        <v>1383</v>
      </c>
      <c r="H9" s="116" t="s">
        <v>1384</v>
      </c>
    </row>
    <row r="10" spans="1:8" ht="12.75">
      <c r="A10" s="99">
        <v>1</v>
      </c>
      <c r="B10" s="117" t="s">
        <v>858</v>
      </c>
      <c r="C10" s="113">
        <v>0</v>
      </c>
      <c r="D10" s="113">
        <v>0</v>
      </c>
      <c r="E10" s="113">
        <v>0</v>
      </c>
      <c r="F10" s="78">
        <v>0</v>
      </c>
      <c r="G10" s="78">
        <v>0</v>
      </c>
      <c r="H10" s="78">
        <v>0</v>
      </c>
    </row>
    <row r="11" spans="1:8" ht="12.75">
      <c r="A11" s="77"/>
      <c r="C11" s="77"/>
      <c r="D11" s="77"/>
      <c r="E11" s="113"/>
      <c r="F11" s="78"/>
      <c r="G11" s="78"/>
      <c r="H11" s="78"/>
    </row>
    <row r="12" spans="1:8" ht="12.75">
      <c r="A12" s="99">
        <v>2</v>
      </c>
      <c r="B12" s="117" t="s">
        <v>859</v>
      </c>
      <c r="C12" s="77">
        <v>5.29</v>
      </c>
      <c r="D12" s="113">
        <v>0</v>
      </c>
      <c r="E12" s="113">
        <v>0</v>
      </c>
      <c r="F12" s="78">
        <v>0</v>
      </c>
      <c r="G12" s="78">
        <v>0</v>
      </c>
      <c r="H12" s="78">
        <v>0</v>
      </c>
    </row>
    <row r="13" spans="1:8" ht="12.75">
      <c r="A13" s="77"/>
      <c r="C13" s="77"/>
      <c r="D13" s="77"/>
      <c r="E13" s="113"/>
      <c r="F13" s="78"/>
      <c r="G13" s="78"/>
      <c r="H13" s="78"/>
    </row>
    <row r="14" spans="1:8" ht="12.75">
      <c r="A14" s="99">
        <v>3</v>
      </c>
      <c r="B14" s="117" t="s">
        <v>860</v>
      </c>
      <c r="C14" s="113">
        <v>0</v>
      </c>
      <c r="D14" s="113">
        <f>45466000/10^7</f>
        <v>4.5466</v>
      </c>
      <c r="E14" s="113">
        <v>0</v>
      </c>
      <c r="F14" s="78">
        <v>0</v>
      </c>
      <c r="G14" s="78">
        <v>0</v>
      </c>
      <c r="H14" s="78">
        <v>0</v>
      </c>
    </row>
    <row r="15" spans="1:8" ht="12.75">
      <c r="A15" s="77"/>
      <c r="B15" s="117" t="s">
        <v>1122</v>
      </c>
      <c r="C15" s="77"/>
      <c r="D15" s="99" t="s">
        <v>1099</v>
      </c>
      <c r="E15" s="77"/>
      <c r="F15" s="78"/>
      <c r="G15" s="78"/>
      <c r="H15" s="78"/>
    </row>
    <row r="16" spans="1:8" ht="12.75">
      <c r="A16" s="77"/>
      <c r="B16" s="118" t="s">
        <v>1105</v>
      </c>
      <c r="C16" s="113">
        <f>SUM(C11:C15)</f>
        <v>5.29</v>
      </c>
      <c r="D16" s="113">
        <f>SUM(D11:D15)</f>
        <v>4.5466</v>
      </c>
      <c r="E16" s="113">
        <f>SUM(E11:E15)</f>
        <v>0</v>
      </c>
      <c r="F16" s="78">
        <v>0</v>
      </c>
      <c r="G16" s="78">
        <f>SUM(G10:G14)</f>
        <v>0</v>
      </c>
      <c r="H16" s="78">
        <f>SUM(H10:H14)</f>
        <v>0</v>
      </c>
    </row>
    <row r="17" ht="12.75"/>
    <row r="18" spans="1:8" ht="33" customHeight="1" hidden="1">
      <c r="A18" s="585" t="s">
        <v>968</v>
      </c>
      <c r="B18" s="585"/>
      <c r="C18" s="585"/>
      <c r="D18" s="585"/>
      <c r="E18" s="585"/>
      <c r="F18" s="585"/>
      <c r="G18" s="585"/>
      <c r="H18" s="585"/>
    </row>
    <row r="19" spans="1:8" ht="33" customHeight="1">
      <c r="A19" s="585" t="s">
        <v>663</v>
      </c>
      <c r="B19" s="585"/>
      <c r="C19" s="585"/>
      <c r="D19" s="585"/>
      <c r="E19" s="585"/>
      <c r="F19" s="585"/>
      <c r="G19" s="585"/>
      <c r="H19" s="585"/>
    </row>
  </sheetData>
  <sheetProtection/>
  <mergeCells count="2">
    <mergeCell ref="A18:H18"/>
    <mergeCell ref="A19:H19"/>
  </mergeCells>
  <printOptions horizontalCentered="1"/>
  <pageMargins left="0.75" right="0.75" top="1" bottom="1" header="0.5" footer="0.5"/>
  <pageSetup horizontalDpi="600" verticalDpi="600" orientation="portrait" paperSize="9" r:id="rId3"/>
  <headerFooter alignWithMargins="0">
    <oddHeader>&amp;R&amp;A</oddHeader>
    <oddFooter>&amp;L&amp;F-&amp;A&amp;CPage-&amp;P of &amp;P&amp;R&amp;D</oddFooter>
  </headerFooter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2:O94"/>
  <sheetViews>
    <sheetView zoomScalePageLayoutView="0" workbookViewId="0" topLeftCell="A27">
      <selection activeCell="L6" sqref="L6"/>
    </sheetView>
  </sheetViews>
  <sheetFormatPr defaultColWidth="9.140625" defaultRowHeight="12.75"/>
  <cols>
    <col min="1" max="1" width="3.28125" style="178" customWidth="1"/>
    <col min="2" max="2" width="35.140625" style="178" customWidth="1"/>
    <col min="3" max="3" width="15.7109375" style="178" hidden="1" customWidth="1"/>
    <col min="4" max="4" width="13.00390625" style="178" hidden="1" customWidth="1"/>
    <col min="5" max="5" width="14.28125" style="178" hidden="1" customWidth="1"/>
    <col min="6" max="6" width="15.00390625" style="178" hidden="1" customWidth="1"/>
    <col min="7" max="7" width="15.421875" style="178" hidden="1" customWidth="1"/>
    <col min="8" max="8" width="11.8515625" style="178" hidden="1" customWidth="1"/>
    <col min="9" max="9" width="12.421875" style="178" hidden="1" customWidth="1"/>
    <col min="10" max="10" width="13.7109375" style="178" customWidth="1"/>
    <col min="11" max="12" width="14.57421875" style="178" customWidth="1"/>
    <col min="13" max="14" width="9.140625" style="178" customWidth="1"/>
    <col min="15" max="15" width="13.00390625" style="178" bestFit="1" customWidth="1"/>
    <col min="16" max="16384" width="9.140625" style="178" customWidth="1"/>
  </cols>
  <sheetData>
    <row r="1" s="170" customFormat="1" ht="12.75"/>
    <row r="2" s="114" customFormat="1" ht="12.75">
      <c r="A2" s="130" t="s">
        <v>1398</v>
      </c>
    </row>
    <row r="3" s="114" customFormat="1" ht="12.75">
      <c r="A3" s="130"/>
    </row>
    <row r="4" spans="1:10" s="114" customFormat="1" ht="12.75">
      <c r="A4" s="177" t="s">
        <v>1299</v>
      </c>
      <c r="J4" s="228" t="s">
        <v>953</v>
      </c>
    </row>
    <row r="5" s="114" customFormat="1" ht="12.75">
      <c r="A5" s="177"/>
    </row>
    <row r="6" spans="1:10" s="114" customFormat="1" ht="12.75">
      <c r="A6" s="130"/>
      <c r="B6" s="104" t="s">
        <v>1350</v>
      </c>
      <c r="C6" s="95"/>
      <c r="D6" s="95"/>
      <c r="J6" s="228" t="s">
        <v>857</v>
      </c>
    </row>
    <row r="7" spans="1:9" s="114" customFormat="1" ht="12.75">
      <c r="A7" s="130"/>
      <c r="B7" s="104" t="s">
        <v>1351</v>
      </c>
      <c r="C7" s="95"/>
      <c r="D7" s="95"/>
      <c r="G7" s="177"/>
      <c r="H7" s="177"/>
      <c r="I7" s="177" t="s">
        <v>1122</v>
      </c>
    </row>
    <row r="8" spans="1:7" s="114" customFormat="1" ht="12.75">
      <c r="A8" s="130"/>
      <c r="B8" s="104" t="s">
        <v>1352</v>
      </c>
      <c r="C8" s="95"/>
      <c r="D8" s="95"/>
      <c r="G8" s="177"/>
    </row>
    <row r="9" spans="2:4" ht="12.75">
      <c r="B9" s="171"/>
      <c r="C9" s="171"/>
      <c r="D9" s="171"/>
    </row>
    <row r="10" spans="1:15" s="285" customFormat="1" ht="25.5">
      <c r="A10" s="41"/>
      <c r="B10" s="41"/>
      <c r="C10" s="150" t="s">
        <v>625</v>
      </c>
      <c r="D10" s="150" t="s">
        <v>954</v>
      </c>
      <c r="E10" s="150" t="s">
        <v>177</v>
      </c>
      <c r="F10" s="150" t="s">
        <v>433</v>
      </c>
      <c r="G10" s="150" t="s">
        <v>973</v>
      </c>
      <c r="H10" s="150" t="s">
        <v>979</v>
      </c>
      <c r="I10" s="150" t="s">
        <v>980</v>
      </c>
      <c r="J10" s="150" t="s">
        <v>880</v>
      </c>
      <c r="K10" s="150" t="s">
        <v>1306</v>
      </c>
      <c r="L10" s="150" t="s">
        <v>878</v>
      </c>
      <c r="O10" s="439" t="s">
        <v>880</v>
      </c>
    </row>
    <row r="11" spans="1:15" s="285" customFormat="1" ht="12.75">
      <c r="A11" s="41"/>
      <c r="B11" s="47"/>
      <c r="C11" s="47"/>
      <c r="D11" s="254"/>
      <c r="E11" s="254"/>
      <c r="F11" s="254"/>
      <c r="G11" s="286"/>
      <c r="H11" s="286"/>
      <c r="I11" s="286"/>
      <c r="J11" s="286"/>
      <c r="K11" s="286"/>
      <c r="L11" s="286"/>
      <c r="O11" s="439"/>
    </row>
    <row r="12" spans="1:15" ht="12.75">
      <c r="A12" s="287" t="s">
        <v>574</v>
      </c>
      <c r="B12" s="172" t="s">
        <v>575</v>
      </c>
      <c r="C12" s="172"/>
      <c r="D12" s="71"/>
      <c r="E12" s="71"/>
      <c r="F12" s="71"/>
      <c r="G12" s="288"/>
      <c r="H12" s="288"/>
      <c r="I12" s="288"/>
      <c r="J12" s="288"/>
      <c r="K12" s="288"/>
      <c r="L12" s="288"/>
      <c r="O12" s="440"/>
    </row>
    <row r="13" spans="1:15" ht="12.75">
      <c r="A13" s="176"/>
      <c r="B13" s="173" t="s">
        <v>1202</v>
      </c>
      <c r="C13" s="173"/>
      <c r="D13" s="255">
        <f aca="true" t="shared" si="0" ref="D13:I13">SUM(D14:D15)</f>
        <v>537.02</v>
      </c>
      <c r="E13" s="255">
        <f t="shared" si="0"/>
        <v>574.38</v>
      </c>
      <c r="F13" s="255">
        <f t="shared" si="0"/>
        <v>596.9000000000001</v>
      </c>
      <c r="G13" s="255">
        <f t="shared" si="0"/>
        <v>636.29</v>
      </c>
      <c r="H13" s="255">
        <f t="shared" si="0"/>
        <v>770.59</v>
      </c>
      <c r="I13" s="255">
        <f t="shared" si="0"/>
        <v>903.1199999999999</v>
      </c>
      <c r="J13" s="255">
        <f>SUM(J14:J15)</f>
        <v>1046.29</v>
      </c>
      <c r="K13" s="255">
        <f>SUM(K14:K15)</f>
        <v>1110.9356</v>
      </c>
      <c r="L13" s="255">
        <f>SUM(L14:L15)</f>
        <v>1127.66405</v>
      </c>
      <c r="O13" s="440">
        <v>1046.29</v>
      </c>
    </row>
    <row r="14" spans="1:15" ht="12.75">
      <c r="A14" s="176"/>
      <c r="B14" s="179" t="s">
        <v>1203</v>
      </c>
      <c r="C14" s="174"/>
      <c r="D14" s="70">
        <f>600700000/10^7</f>
        <v>60.07</v>
      </c>
      <c r="E14" s="70">
        <v>60.07</v>
      </c>
      <c r="F14" s="70">
        <v>60.07</v>
      </c>
      <c r="G14" s="70">
        <v>83.13</v>
      </c>
      <c r="H14" s="70">
        <v>88.13</v>
      </c>
      <c r="I14" s="70">
        <f>'TRF -12'!F16</f>
        <v>203.07</v>
      </c>
      <c r="J14" s="70">
        <f>'TRF -12'!F16</f>
        <v>203.07</v>
      </c>
      <c r="K14" s="70">
        <f>'TRF -12'!F40</f>
        <v>253.07</v>
      </c>
      <c r="L14" s="70">
        <f>'TRF -12'!F64</f>
        <v>253.07</v>
      </c>
      <c r="O14" s="440">
        <v>203.07</v>
      </c>
    </row>
    <row r="15" spans="1:15" ht="12.75">
      <c r="A15" s="176"/>
      <c r="B15" s="179" t="s">
        <v>1204</v>
      </c>
      <c r="C15" s="174"/>
      <c r="D15" s="70">
        <v>476.95</v>
      </c>
      <c r="E15" s="256">
        <v>514.31</v>
      </c>
      <c r="F15" s="256">
        <v>536.83</v>
      </c>
      <c r="G15" s="256">
        <v>553.16</v>
      </c>
      <c r="H15" s="256">
        <v>682.46</v>
      </c>
      <c r="I15" s="256">
        <v>700.05</v>
      </c>
      <c r="J15" s="256">
        <f>661.25+181.97</f>
        <v>843.22</v>
      </c>
      <c r="K15" s="256">
        <f>J15+'TRF-26'!K35</f>
        <v>857.8656000000001</v>
      </c>
      <c r="L15" s="256">
        <f>K15+'TRF-26'!L35</f>
        <v>874.59405</v>
      </c>
      <c r="O15" s="440">
        <v>843.22</v>
      </c>
    </row>
    <row r="16" spans="1:15" ht="12.75">
      <c r="A16" s="176"/>
      <c r="B16" s="174"/>
      <c r="C16" s="174"/>
      <c r="D16" s="71"/>
      <c r="E16" s="71"/>
      <c r="F16" s="71"/>
      <c r="G16" s="71"/>
      <c r="H16" s="71"/>
      <c r="I16" s="71"/>
      <c r="J16" s="71"/>
      <c r="K16" s="71"/>
      <c r="L16" s="71"/>
      <c r="O16" s="440"/>
    </row>
    <row r="17" spans="1:15" ht="12.75">
      <c r="A17" s="176"/>
      <c r="B17" s="173" t="s">
        <v>1205</v>
      </c>
      <c r="C17" s="173"/>
      <c r="D17" s="255">
        <f aca="true" t="shared" si="1" ref="D17:I17">SUM(D18:D19)</f>
        <v>1564.69</v>
      </c>
      <c r="E17" s="255">
        <f t="shared" si="1"/>
        <v>1524.94</v>
      </c>
      <c r="F17" s="255">
        <f t="shared" si="1"/>
        <v>1415.29</v>
      </c>
      <c r="G17" s="255">
        <f t="shared" si="1"/>
        <v>1311.65</v>
      </c>
      <c r="H17" s="255">
        <f t="shared" si="1"/>
        <v>1030.9</v>
      </c>
      <c r="I17" s="255">
        <f t="shared" si="1"/>
        <v>909.7319163</v>
      </c>
      <c r="J17" s="255">
        <f>SUM(J18:J19)</f>
        <v>818.6284749</v>
      </c>
      <c r="K17" s="255">
        <f>SUM(K18:K19)</f>
        <v>1108.11899012</v>
      </c>
      <c r="L17" s="255">
        <f>SUM(L18:L19)</f>
        <v>1591.2748674399998</v>
      </c>
      <c r="O17" s="440">
        <v>818.6284749</v>
      </c>
    </row>
    <row r="18" spans="1:15" ht="12.75">
      <c r="A18" s="176"/>
      <c r="B18" s="179" t="s">
        <v>1206</v>
      </c>
      <c r="C18" s="174"/>
      <c r="D18" s="256">
        <v>688.71</v>
      </c>
      <c r="E18" s="256">
        <v>612.12</v>
      </c>
      <c r="F18" s="256">
        <v>509.46</v>
      </c>
      <c r="G18" s="256">
        <v>403.49</v>
      </c>
      <c r="H18" s="256">
        <v>297.08</v>
      </c>
      <c r="I18" s="256">
        <f>'TRF-3'!H75</f>
        <v>105.88</v>
      </c>
      <c r="J18" s="256">
        <f>'TRF-3'!H75+'TRF-3'!H68</f>
        <v>307.5184749</v>
      </c>
      <c r="K18" s="256">
        <f>'TRF-3'!N68+'TRF-3'!N75+'TRF-3'!N83</f>
        <v>589.39899012</v>
      </c>
      <c r="L18" s="256">
        <f>'TRF-3'!T68+'TRF-3'!T75+'TRF-3'!T83</f>
        <v>1073.5548674399997</v>
      </c>
      <c r="O18" s="440">
        <v>307.5184749</v>
      </c>
    </row>
    <row r="19" spans="1:15" ht="12.75">
      <c r="A19" s="176"/>
      <c r="B19" s="179" t="s">
        <v>1207</v>
      </c>
      <c r="C19" s="174"/>
      <c r="D19" s="256">
        <v>875.98</v>
      </c>
      <c r="E19" s="256">
        <v>912.82</v>
      </c>
      <c r="F19" s="256">
        <v>905.83</v>
      </c>
      <c r="G19" s="256">
        <v>908.16</v>
      </c>
      <c r="H19" s="256">
        <v>733.82</v>
      </c>
      <c r="I19" s="256">
        <f>'TRF-3'!H89+'TRF-3'!J89-'TRF-3'!H75-0.02</f>
        <v>803.8519163</v>
      </c>
      <c r="J19" s="256">
        <f>'TRF-3'!H89-J18-0.78</f>
        <v>511.11</v>
      </c>
      <c r="K19" s="256">
        <f>'TRF-3'!N89-K18-K21</f>
        <v>518.72</v>
      </c>
      <c r="L19" s="256">
        <f>'TRF-3'!T89-L18-L21</f>
        <v>517.72</v>
      </c>
      <c r="O19" s="440">
        <v>511.11</v>
      </c>
    </row>
    <row r="20" spans="1:15" ht="12.75">
      <c r="A20" s="176"/>
      <c r="B20" s="174"/>
      <c r="C20" s="174"/>
      <c r="D20" s="71"/>
      <c r="E20" s="71"/>
      <c r="F20" s="71"/>
      <c r="G20" s="71"/>
      <c r="H20" s="71"/>
      <c r="I20" s="71"/>
      <c r="J20" s="71"/>
      <c r="K20" s="71"/>
      <c r="L20" s="71"/>
      <c r="O20" s="440"/>
    </row>
    <row r="21" spans="1:15" ht="12.75">
      <c r="A21" s="176"/>
      <c r="B21" s="173" t="s">
        <v>1208</v>
      </c>
      <c r="C21" s="173"/>
      <c r="D21" s="255">
        <f aca="true" t="shared" si="2" ref="D21:I21">SUM(D22:D24)</f>
        <v>0.0083334</v>
      </c>
      <c r="E21" s="255">
        <f t="shared" si="2"/>
        <v>0.0083334</v>
      </c>
      <c r="F21" s="255">
        <f t="shared" si="2"/>
        <v>0.0083334</v>
      </c>
      <c r="G21" s="255">
        <f t="shared" si="2"/>
        <v>0.0083334</v>
      </c>
      <c r="H21" s="255">
        <f t="shared" si="2"/>
        <v>0.0455334</v>
      </c>
      <c r="I21" s="255">
        <f t="shared" si="2"/>
        <v>0.7868756</v>
      </c>
      <c r="J21" s="255">
        <f>SUM(J22:J24)</f>
        <v>0.78</v>
      </c>
      <c r="K21" s="255">
        <f>SUM(K22:K24)</f>
        <v>0.75</v>
      </c>
      <c r="L21" s="255">
        <f>SUM(L22:L24)</f>
        <v>0.73</v>
      </c>
      <c r="O21" s="440">
        <v>0.78</v>
      </c>
    </row>
    <row r="22" spans="1:15" ht="12.75">
      <c r="A22" s="176"/>
      <c r="B22" s="179" t="s">
        <v>1209</v>
      </c>
      <c r="C22" s="174"/>
      <c r="D22" s="70">
        <f>83334/10^7</f>
        <v>0.0083334</v>
      </c>
      <c r="E22" s="70">
        <f>83334/10^7</f>
        <v>0.0083334</v>
      </c>
      <c r="F22" s="70">
        <f>83334/10^7</f>
        <v>0.0083334</v>
      </c>
      <c r="G22" s="70">
        <f>83334/10^7</f>
        <v>0.0083334</v>
      </c>
      <c r="H22" s="70">
        <f>455334/10^7</f>
        <v>0.0455334</v>
      </c>
      <c r="I22" s="70">
        <f>7868756/10^7</f>
        <v>0.7868756</v>
      </c>
      <c r="J22" s="70">
        <v>0.78</v>
      </c>
      <c r="K22" s="70">
        <f>'TRF-3'!N86</f>
        <v>0.75</v>
      </c>
      <c r="L22" s="70">
        <f>'TRF-3'!T86</f>
        <v>0.73</v>
      </c>
      <c r="O22" s="440">
        <v>0.78</v>
      </c>
    </row>
    <row r="23" spans="1:15" ht="9" customHeight="1">
      <c r="A23" s="176"/>
      <c r="B23" s="179"/>
      <c r="C23" s="174"/>
      <c r="D23" s="70"/>
      <c r="E23" s="70"/>
      <c r="F23" s="70"/>
      <c r="G23" s="70"/>
      <c r="H23" s="70"/>
      <c r="I23" s="70"/>
      <c r="J23" s="70"/>
      <c r="K23" s="70"/>
      <c r="L23" s="70"/>
      <c r="O23" s="440"/>
    </row>
    <row r="24" spans="1:15" ht="22.5" customHeight="1">
      <c r="A24" s="176"/>
      <c r="B24" s="179" t="s">
        <v>1210</v>
      </c>
      <c r="C24" s="174"/>
      <c r="D24" s="255">
        <v>0</v>
      </c>
      <c r="E24" s="255">
        <v>0</v>
      </c>
      <c r="F24" s="255"/>
      <c r="G24" s="71"/>
      <c r="H24" s="71"/>
      <c r="I24" s="71"/>
      <c r="J24" s="71"/>
      <c r="K24" s="71"/>
      <c r="L24" s="71"/>
      <c r="O24" s="440"/>
    </row>
    <row r="25" spans="1:15" ht="8.25" customHeight="1">
      <c r="A25" s="176"/>
      <c r="B25" s="174"/>
      <c r="C25" s="174"/>
      <c r="D25" s="255"/>
      <c r="E25" s="255"/>
      <c r="F25" s="255"/>
      <c r="G25" s="71"/>
      <c r="H25" s="71"/>
      <c r="I25" s="71"/>
      <c r="J25" s="71"/>
      <c r="K25" s="71"/>
      <c r="L25" s="71"/>
      <c r="O25" s="440"/>
    </row>
    <row r="26" spans="1:15" ht="12.75">
      <c r="A26" s="176"/>
      <c r="B26" s="173" t="s">
        <v>1105</v>
      </c>
      <c r="C26" s="173"/>
      <c r="D26" s="255">
        <f>D21+D17+D13</f>
        <v>2101.7183334</v>
      </c>
      <c r="E26" s="255">
        <f aca="true" t="shared" si="3" ref="E26:J26">E17+E13+E21</f>
        <v>2099.3283334000002</v>
      </c>
      <c r="F26" s="255">
        <f t="shared" si="3"/>
        <v>2012.1983334000001</v>
      </c>
      <c r="G26" s="255">
        <f t="shared" si="3"/>
        <v>1947.9483334000001</v>
      </c>
      <c r="H26" s="255">
        <f t="shared" si="3"/>
        <v>1801.5355334000003</v>
      </c>
      <c r="I26" s="255">
        <f t="shared" si="3"/>
        <v>1813.6387919</v>
      </c>
      <c r="J26" s="255">
        <f t="shared" si="3"/>
        <v>1865.6984749</v>
      </c>
      <c r="K26" s="255">
        <f>K17+K13+K21</f>
        <v>2219.8045901200003</v>
      </c>
      <c r="L26" s="255">
        <f>L17+L13+L21</f>
        <v>2719.66891744</v>
      </c>
      <c r="O26" s="440">
        <v>1865.6984749</v>
      </c>
    </row>
    <row r="27" spans="1:15" ht="9.75" customHeight="1">
      <c r="A27" s="176"/>
      <c r="B27" s="173"/>
      <c r="C27" s="173"/>
      <c r="D27" s="71"/>
      <c r="E27" s="71"/>
      <c r="F27" s="71"/>
      <c r="G27" s="71"/>
      <c r="H27" s="71"/>
      <c r="I27" s="71"/>
      <c r="J27" s="71"/>
      <c r="K27" s="71"/>
      <c r="L27" s="71"/>
      <c r="O27" s="440"/>
    </row>
    <row r="28" spans="1:15" ht="12.75">
      <c r="A28" s="287" t="s">
        <v>1211</v>
      </c>
      <c r="B28" s="173" t="s">
        <v>1212</v>
      </c>
      <c r="C28" s="173"/>
      <c r="D28" s="71"/>
      <c r="E28" s="71"/>
      <c r="F28" s="71"/>
      <c r="G28" s="288"/>
      <c r="H28" s="288"/>
      <c r="I28" s="288"/>
      <c r="J28" s="288"/>
      <c r="K28" s="288"/>
      <c r="L28" s="288"/>
      <c r="O28" s="440"/>
    </row>
    <row r="29" spans="1:15" ht="12.75">
      <c r="A29" s="176"/>
      <c r="B29" s="173" t="s">
        <v>563</v>
      </c>
      <c r="C29" s="175"/>
      <c r="D29" s="71"/>
      <c r="E29" s="71"/>
      <c r="F29" s="71"/>
      <c r="G29" s="288"/>
      <c r="H29" s="288"/>
      <c r="I29" s="288"/>
      <c r="J29" s="288"/>
      <c r="K29" s="288"/>
      <c r="L29" s="288"/>
      <c r="O29" s="440"/>
    </row>
    <row r="30" spans="1:15" ht="12.75">
      <c r="A30" s="176"/>
      <c r="B30" s="179" t="s">
        <v>564</v>
      </c>
      <c r="C30" s="174"/>
      <c r="D30" s="256">
        <f>'TRF-23'!CL27</f>
        <v>1922.2032595000003</v>
      </c>
      <c r="E30" s="256">
        <v>2066.43</v>
      </c>
      <c r="F30" s="256">
        <f>'TRF-23'!DJ27</f>
        <v>2272.5340482000006</v>
      </c>
      <c r="G30" s="256">
        <v>2415.26</v>
      </c>
      <c r="H30" s="256">
        <v>2603.74</v>
      </c>
      <c r="I30" s="256">
        <v>2793.54</v>
      </c>
      <c r="J30" s="256">
        <f>'TRF-23'!EE27</f>
        <v>2929.1200000000003</v>
      </c>
      <c r="K30" s="256">
        <f>'TRF-23'!EN27</f>
        <v>3345.69</v>
      </c>
      <c r="L30" s="256">
        <f>'TRF-23'!EW27</f>
        <v>3790.2099999999996</v>
      </c>
      <c r="O30" s="440">
        <v>2929.12</v>
      </c>
    </row>
    <row r="31" spans="1:15" ht="12.75">
      <c r="A31" s="176"/>
      <c r="B31" s="179" t="s">
        <v>1213</v>
      </c>
      <c r="C31" s="174"/>
      <c r="D31" s="256">
        <f>'TRF-23'!CP27</f>
        <v>825.4271</v>
      </c>
      <c r="E31" s="256">
        <v>924.1</v>
      </c>
      <c r="F31" s="256">
        <f>'TRF-23'!DN27</f>
        <v>1034.0029990000003</v>
      </c>
      <c r="G31" s="256">
        <f>'TRF-23'!DQ27+0.01</f>
        <v>1143.7545341</v>
      </c>
      <c r="H31" s="256">
        <v>1251.97</v>
      </c>
      <c r="I31" s="256">
        <v>1375.88</v>
      </c>
      <c r="J31" s="256">
        <f>'TRF-23'!EI27</f>
        <v>1505.1107469</v>
      </c>
      <c r="K31" s="256">
        <f>'TRF-23'!ER27</f>
        <v>1656.4400919</v>
      </c>
      <c r="L31" s="256">
        <f>'TRF-23'!FA27</f>
        <v>1829.2910083093825</v>
      </c>
      <c r="O31" s="440">
        <v>1505.1107469</v>
      </c>
    </row>
    <row r="32" spans="1:15" s="449" customFormat="1" ht="12.75">
      <c r="A32" s="172"/>
      <c r="B32" s="173" t="s">
        <v>566</v>
      </c>
      <c r="C32" s="448"/>
      <c r="D32" s="255">
        <f aca="true" t="shared" si="4" ref="D32:L32">D30-D31</f>
        <v>1096.7761595000002</v>
      </c>
      <c r="E32" s="255">
        <f t="shared" si="4"/>
        <v>1142.33</v>
      </c>
      <c r="F32" s="255">
        <f t="shared" si="4"/>
        <v>1238.5310492000003</v>
      </c>
      <c r="G32" s="255">
        <f t="shared" si="4"/>
        <v>1271.5054659000002</v>
      </c>
      <c r="H32" s="255">
        <f t="shared" si="4"/>
        <v>1351.7699999999998</v>
      </c>
      <c r="I32" s="255">
        <f t="shared" si="4"/>
        <v>1417.6599999999999</v>
      </c>
      <c r="J32" s="255">
        <f t="shared" si="4"/>
        <v>1424.0092531000003</v>
      </c>
      <c r="K32" s="255">
        <f t="shared" si="4"/>
        <v>1689.2499081</v>
      </c>
      <c r="L32" s="255">
        <f t="shared" si="4"/>
        <v>1960.918991690617</v>
      </c>
      <c r="O32" s="450">
        <v>1424.0092531000003</v>
      </c>
    </row>
    <row r="33" spans="1:15" ht="12.75">
      <c r="A33" s="176"/>
      <c r="B33" s="174"/>
      <c r="C33" s="174"/>
      <c r="D33" s="256"/>
      <c r="E33" s="256"/>
      <c r="F33" s="256"/>
      <c r="G33" s="288"/>
      <c r="H33" s="288"/>
      <c r="I33" s="288"/>
      <c r="J33" s="288"/>
      <c r="K33" s="288"/>
      <c r="L33" s="288"/>
      <c r="O33" s="440"/>
    </row>
    <row r="34" spans="1:15" ht="12.75">
      <c r="A34" s="176"/>
      <c r="B34" s="175" t="s">
        <v>1214</v>
      </c>
      <c r="C34" s="175"/>
      <c r="D34" s="256">
        <f>'TRF-1'!C40</f>
        <v>859.9241782999999</v>
      </c>
      <c r="E34" s="256">
        <v>824.33</v>
      </c>
      <c r="F34" s="256">
        <v>722.14</v>
      </c>
      <c r="G34" s="256">
        <v>671.1</v>
      </c>
      <c r="H34" s="256">
        <v>576.07</v>
      </c>
      <c r="I34" s="256">
        <v>556.25</v>
      </c>
      <c r="J34" s="256">
        <f>'TRF-1'!H40</f>
        <v>702.05</v>
      </c>
      <c r="K34" s="256">
        <f>'TRF-1'!I40</f>
        <v>735.1205456875</v>
      </c>
      <c r="L34" s="256">
        <f>'TRF-1'!J40</f>
        <v>973.4919980625</v>
      </c>
      <c r="O34" s="440">
        <v>702.05</v>
      </c>
    </row>
    <row r="35" spans="1:15" ht="12.75">
      <c r="A35" s="176"/>
      <c r="B35" s="175"/>
      <c r="C35" s="175"/>
      <c r="D35" s="257"/>
      <c r="E35" s="257"/>
      <c r="F35" s="71"/>
      <c r="G35" s="288"/>
      <c r="H35" s="288"/>
      <c r="I35" s="288"/>
      <c r="J35" s="288"/>
      <c r="K35" s="288"/>
      <c r="L35" s="288"/>
      <c r="O35" s="440"/>
    </row>
    <row r="36" spans="1:15" ht="12.75">
      <c r="A36" s="176"/>
      <c r="B36" s="175" t="s">
        <v>1215</v>
      </c>
      <c r="C36" s="175"/>
      <c r="D36" s="257">
        <f>270550000/10^7</f>
        <v>27.055</v>
      </c>
      <c r="E36" s="257">
        <f>270550000/10^7</f>
        <v>27.055</v>
      </c>
      <c r="F36" s="257">
        <f>E36</f>
        <v>27.055</v>
      </c>
      <c r="G36" s="257">
        <f>E36</f>
        <v>27.055</v>
      </c>
      <c r="H36" s="257">
        <f>F36</f>
        <v>27.055</v>
      </c>
      <c r="I36" s="257">
        <f>G36</f>
        <v>27.055</v>
      </c>
      <c r="J36" s="257">
        <v>15.72</v>
      </c>
      <c r="K36" s="257">
        <f>J36+'TRF-22'!C14</f>
        <v>31.909999999999997</v>
      </c>
      <c r="L36" s="257">
        <f>K36+'TRF-22'!C23</f>
        <v>46.5556</v>
      </c>
      <c r="O36" s="440">
        <v>15.72</v>
      </c>
    </row>
    <row r="37" spans="1:15" ht="8.25" customHeight="1">
      <c r="A37" s="176"/>
      <c r="B37" s="175"/>
      <c r="C37" s="175"/>
      <c r="D37" s="257"/>
      <c r="E37" s="257"/>
      <c r="F37" s="257"/>
      <c r="G37" s="257"/>
      <c r="H37" s="257"/>
      <c r="I37" s="257"/>
      <c r="J37" s="257"/>
      <c r="K37" s="257"/>
      <c r="L37" s="257"/>
      <c r="O37" s="440"/>
    </row>
    <row r="38" spans="1:15" ht="12.75">
      <c r="A38" s="176"/>
      <c r="B38" s="173" t="s">
        <v>1223</v>
      </c>
      <c r="C38" s="173"/>
      <c r="D38" s="255">
        <f aca="true" t="shared" si="5" ref="D38:I38">SUM(D39:D45)</f>
        <v>339.36131972500004</v>
      </c>
      <c r="E38" s="255">
        <f t="shared" si="5"/>
        <v>321.5</v>
      </c>
      <c r="F38" s="255">
        <f t="shared" si="5"/>
        <v>310.61</v>
      </c>
      <c r="G38" s="255">
        <f t="shared" si="5"/>
        <v>630.61</v>
      </c>
      <c r="H38" s="255">
        <f t="shared" si="5"/>
        <v>507.93</v>
      </c>
      <c r="I38" s="255">
        <f t="shared" si="5"/>
        <v>442.71161212139987</v>
      </c>
      <c r="J38" s="255">
        <f>SUM(J39:J45)</f>
        <v>480.97200914999985</v>
      </c>
      <c r="K38" s="255">
        <f>SUM(K39:K45)</f>
        <v>513.4541189999999</v>
      </c>
      <c r="L38" s="255">
        <f>SUM(L39:L45)</f>
        <v>781.5289250541666</v>
      </c>
      <c r="O38" s="440">
        <v>480.97200914999985</v>
      </c>
    </row>
    <row r="39" spans="1:15" ht="12.75">
      <c r="A39" s="176"/>
      <c r="B39" s="179" t="s">
        <v>621</v>
      </c>
      <c r="C39" s="174"/>
      <c r="D39" s="70">
        <f>'TRF-9'!C19-'TRF-9'!C23</f>
        <v>163.551319725</v>
      </c>
      <c r="E39" s="70">
        <v>79.81</v>
      </c>
      <c r="F39" s="70">
        <v>105.25</v>
      </c>
      <c r="G39" s="70">
        <v>105.5</v>
      </c>
      <c r="H39" s="70">
        <v>105.56</v>
      </c>
      <c r="I39" s="70">
        <f>'TRF-9'!H19-'TRF-9'!H23+1.95</f>
        <v>154.81161212139983</v>
      </c>
      <c r="J39" s="70">
        <f>'TRF-9'!I19-'TRF-9'!I23</f>
        <v>185.81200914999982</v>
      </c>
      <c r="K39" s="70">
        <f>'TRF-9'!J19-'TRF-9'!J23</f>
        <v>188.56411899999992</v>
      </c>
      <c r="L39" s="70">
        <f>'TRF-9'!K19-'TRF-9'!K23</f>
        <v>192.46892505416656</v>
      </c>
      <c r="O39" s="440">
        <v>185.81200914999982</v>
      </c>
    </row>
    <row r="40" spans="1:15" ht="12.75">
      <c r="A40" s="176"/>
      <c r="B40" s="179" t="s">
        <v>1224</v>
      </c>
      <c r="C40" s="174"/>
      <c r="D40" s="256">
        <v>70.12</v>
      </c>
      <c r="E40" s="256">
        <v>75.11</v>
      </c>
      <c r="F40" s="256">
        <v>76.69</v>
      </c>
      <c r="G40" s="256">
        <v>80.85</v>
      </c>
      <c r="H40" s="256">
        <v>96.91</v>
      </c>
      <c r="I40" s="256">
        <v>114.42</v>
      </c>
      <c r="J40" s="256">
        <v>130.41</v>
      </c>
      <c r="K40" s="256">
        <v>148.41</v>
      </c>
      <c r="L40" s="256">
        <v>143.41</v>
      </c>
      <c r="O40" s="440">
        <v>130.41</v>
      </c>
    </row>
    <row r="41" spans="1:15" ht="12.75">
      <c r="A41" s="176"/>
      <c r="B41" s="179" t="s">
        <v>1225</v>
      </c>
      <c r="C41" s="174"/>
      <c r="D41" s="70">
        <v>18.7</v>
      </c>
      <c r="E41" s="70">
        <v>64.83</v>
      </c>
      <c r="F41" s="70">
        <v>49.08</v>
      </c>
      <c r="G41" s="70">
        <v>90.7</v>
      </c>
      <c r="H41" s="70">
        <v>72.71</v>
      </c>
      <c r="I41" s="70">
        <v>57.94</v>
      </c>
      <c r="J41" s="256">
        <v>38.58</v>
      </c>
      <c r="K41" s="256">
        <v>35.31</v>
      </c>
      <c r="L41" s="256">
        <v>13.81</v>
      </c>
      <c r="O41" s="440">
        <v>38.58</v>
      </c>
    </row>
    <row r="42" spans="1:15" ht="12.75">
      <c r="A42" s="176"/>
      <c r="B42" s="179" t="s">
        <v>1226</v>
      </c>
      <c r="C42" s="174"/>
      <c r="D42" s="256">
        <v>14.02</v>
      </c>
      <c r="E42" s="256">
        <v>38.94</v>
      </c>
      <c r="F42" s="256">
        <v>14.33</v>
      </c>
      <c r="G42" s="256">
        <f>286.87-265.78</f>
        <v>21.090000000000032</v>
      </c>
      <c r="H42" s="256">
        <v>158.26</v>
      </c>
      <c r="I42" s="256">
        <v>40.41</v>
      </c>
      <c r="J42" s="256">
        <f>51.3+9.43</f>
        <v>60.73</v>
      </c>
      <c r="K42" s="256">
        <v>75.73</v>
      </c>
      <c r="L42" s="256">
        <v>80.73</v>
      </c>
      <c r="O42" s="440">
        <v>60.73</v>
      </c>
    </row>
    <row r="43" spans="1:15" ht="12.75">
      <c r="A43" s="176"/>
      <c r="B43" s="179" t="s">
        <v>406</v>
      </c>
      <c r="C43" s="174"/>
      <c r="D43" s="256">
        <v>72.97</v>
      </c>
      <c r="E43" s="256">
        <v>62.81</v>
      </c>
      <c r="F43" s="256">
        <v>65.26</v>
      </c>
      <c r="G43" s="256">
        <v>66.69</v>
      </c>
      <c r="H43" s="256">
        <v>74.49</v>
      </c>
      <c r="I43" s="256">
        <v>75.13</v>
      </c>
      <c r="J43" s="256">
        <f>170.01-107.76+3.19</f>
        <v>65.43999999999998</v>
      </c>
      <c r="K43" s="256">
        <f>J43</f>
        <v>65.43999999999998</v>
      </c>
      <c r="L43" s="256">
        <f>K43</f>
        <v>65.43999999999998</v>
      </c>
      <c r="O43" s="440">
        <v>65.44</v>
      </c>
    </row>
    <row r="44" spans="1:15" ht="12.75">
      <c r="A44" s="176"/>
      <c r="B44" s="179" t="s">
        <v>379</v>
      </c>
      <c r="C44" s="174"/>
      <c r="D44" s="256"/>
      <c r="E44" s="256"/>
      <c r="F44" s="256"/>
      <c r="G44" s="256">
        <v>265.78</v>
      </c>
      <c r="H44" s="256"/>
      <c r="I44" s="256"/>
      <c r="J44" s="288"/>
      <c r="K44" s="256"/>
      <c r="L44" s="256">
        <v>285.67</v>
      </c>
      <c r="O44" s="440"/>
    </row>
    <row r="45" spans="1:15" ht="12.75">
      <c r="A45" s="176"/>
      <c r="B45" s="179"/>
      <c r="C45" s="174"/>
      <c r="D45" s="70">
        <v>0</v>
      </c>
      <c r="E45" s="70"/>
      <c r="F45" s="70"/>
      <c r="G45" s="288"/>
      <c r="H45" s="288"/>
      <c r="I45" s="288"/>
      <c r="J45" s="288"/>
      <c r="K45" s="288"/>
      <c r="L45" s="288"/>
      <c r="O45" s="440"/>
    </row>
    <row r="46" spans="1:15" ht="9.75" customHeight="1">
      <c r="A46" s="176"/>
      <c r="B46" s="174"/>
      <c r="C46" s="174"/>
      <c r="D46" s="70"/>
      <c r="E46" s="70"/>
      <c r="F46" s="70"/>
      <c r="G46" s="288"/>
      <c r="H46" s="288"/>
      <c r="I46" s="288"/>
      <c r="J46" s="288"/>
      <c r="K46" s="288"/>
      <c r="L46" s="288"/>
      <c r="O46" s="440"/>
    </row>
    <row r="47" spans="1:15" ht="12.75">
      <c r="A47" s="176"/>
      <c r="B47" s="173" t="s">
        <v>1227</v>
      </c>
      <c r="C47" s="173"/>
      <c r="D47" s="255">
        <f aca="true" t="shared" si="6" ref="D47:I47">SUM(D48:D50)</f>
        <v>247.52999999999997</v>
      </c>
      <c r="E47" s="255">
        <f t="shared" si="6"/>
        <v>250.8</v>
      </c>
      <c r="F47" s="255">
        <f t="shared" si="6"/>
        <v>335.96</v>
      </c>
      <c r="G47" s="255">
        <f t="shared" si="6"/>
        <v>730.39</v>
      </c>
      <c r="H47" s="255">
        <f t="shared" si="6"/>
        <v>821.3599999999999</v>
      </c>
      <c r="I47" s="255">
        <f t="shared" si="6"/>
        <v>853.31</v>
      </c>
      <c r="J47" s="255">
        <f>SUM(J48:J50)</f>
        <v>939.03</v>
      </c>
      <c r="K47" s="255">
        <f>SUM(K48:K50)</f>
        <v>972.3634414</v>
      </c>
      <c r="L47" s="255">
        <f>SUM(L48:L50)</f>
        <v>1435.0634414</v>
      </c>
      <c r="O47" s="440">
        <v>939.03</v>
      </c>
    </row>
    <row r="48" spans="1:15" ht="12.75">
      <c r="A48" s="176"/>
      <c r="B48" s="179" t="s">
        <v>1037</v>
      </c>
      <c r="C48" s="174"/>
      <c r="D48" s="70"/>
      <c r="E48" s="70"/>
      <c r="F48" s="70"/>
      <c r="G48" s="288"/>
      <c r="H48" s="288"/>
      <c r="I48" s="288"/>
      <c r="J48" s="288"/>
      <c r="K48" s="288"/>
      <c r="L48" s="288"/>
      <c r="O48" s="440"/>
    </row>
    <row r="49" spans="1:15" ht="12.75">
      <c r="A49" s="176"/>
      <c r="B49" s="179" t="s">
        <v>712</v>
      </c>
      <c r="C49" s="174"/>
      <c r="D49" s="70">
        <v>163.76</v>
      </c>
      <c r="E49" s="70">
        <v>167.71</v>
      </c>
      <c r="F49" s="70">
        <v>205.51</v>
      </c>
      <c r="G49" s="70">
        <v>247.64</v>
      </c>
      <c r="H49" s="70">
        <v>251.8</v>
      </c>
      <c r="I49" s="70">
        <v>266.56</v>
      </c>
      <c r="J49" s="70">
        <f>53.18+89.36+195.11-0.78+51.15+7.81</f>
        <v>395.83</v>
      </c>
      <c r="K49" s="70">
        <f>K77+289.99</f>
        <v>406.62344140000005</v>
      </c>
      <c r="L49" s="70">
        <f>L77+287.99</f>
        <v>431.89344140000003</v>
      </c>
      <c r="O49" s="440">
        <v>395.83</v>
      </c>
    </row>
    <row r="50" spans="1:15" ht="12.75">
      <c r="A50" s="176"/>
      <c r="B50" s="179" t="s">
        <v>711</v>
      </c>
      <c r="C50" s="174"/>
      <c r="D50" s="70">
        <v>83.77</v>
      </c>
      <c r="E50" s="70">
        <v>83.09</v>
      </c>
      <c r="F50" s="70">
        <v>130.45</v>
      </c>
      <c r="G50" s="70">
        <v>482.75</v>
      </c>
      <c r="H50" s="70">
        <v>569.56</v>
      </c>
      <c r="I50" s="70">
        <f>586.75</f>
        <v>586.75</v>
      </c>
      <c r="J50" s="70">
        <f>389.73+153.47</f>
        <v>543.2</v>
      </c>
      <c r="K50" s="70">
        <v>565.74</v>
      </c>
      <c r="L50" s="70">
        <v>1003.17</v>
      </c>
      <c r="O50" s="440">
        <v>543.2</v>
      </c>
    </row>
    <row r="51" spans="1:15" ht="12.75">
      <c r="A51" s="176"/>
      <c r="B51" s="175"/>
      <c r="C51" s="175"/>
      <c r="D51" s="71"/>
      <c r="E51" s="71"/>
      <c r="F51" s="71"/>
      <c r="G51" s="288"/>
      <c r="H51" s="288"/>
      <c r="I51" s="288"/>
      <c r="J51" s="288"/>
      <c r="K51" s="288"/>
      <c r="L51" s="288"/>
      <c r="O51" s="440"/>
    </row>
    <row r="52" spans="1:15" ht="12.75">
      <c r="A52" s="176"/>
      <c r="B52" s="173" t="s">
        <v>1228</v>
      </c>
      <c r="C52" s="173"/>
      <c r="D52" s="255">
        <f aca="true" t="shared" si="7" ref="D52:I52">D38-D47</f>
        <v>91.83131972500007</v>
      </c>
      <c r="E52" s="255">
        <f t="shared" si="7"/>
        <v>70.69999999999999</v>
      </c>
      <c r="F52" s="255">
        <f t="shared" si="7"/>
        <v>-25.349999999999966</v>
      </c>
      <c r="G52" s="255">
        <f t="shared" si="7"/>
        <v>-99.77999999999997</v>
      </c>
      <c r="H52" s="255">
        <f t="shared" si="7"/>
        <v>-313.4299999999999</v>
      </c>
      <c r="I52" s="255">
        <f t="shared" si="7"/>
        <v>-410.5983878786001</v>
      </c>
      <c r="J52" s="255">
        <f>J38-J47</f>
        <v>-458.0579908500001</v>
      </c>
      <c r="K52" s="255">
        <f>K38-K47</f>
        <v>-458.9093224000002</v>
      </c>
      <c r="L52" s="255">
        <f>L38-L47</f>
        <v>-653.5345163458335</v>
      </c>
      <c r="O52" s="440">
        <v>-458.0579908500001</v>
      </c>
    </row>
    <row r="53" spans="1:15" ht="25.5">
      <c r="A53" s="176"/>
      <c r="B53" s="175" t="s">
        <v>410</v>
      </c>
      <c r="C53" s="175"/>
      <c r="D53" s="257">
        <v>1.21</v>
      </c>
      <c r="E53" s="256">
        <v>0.91</v>
      </c>
      <c r="F53" s="256">
        <v>0.6</v>
      </c>
      <c r="G53" s="256">
        <v>0.3</v>
      </c>
      <c r="H53" s="256">
        <v>0</v>
      </c>
      <c r="I53" s="256">
        <v>0</v>
      </c>
      <c r="J53" s="256">
        <v>0</v>
      </c>
      <c r="K53" s="256">
        <v>0</v>
      </c>
      <c r="L53" s="256">
        <v>0</v>
      </c>
      <c r="O53" s="440">
        <v>0</v>
      </c>
    </row>
    <row r="54" spans="1:15" ht="12.75">
      <c r="A54" s="176"/>
      <c r="B54" s="175"/>
      <c r="C54" s="175"/>
      <c r="D54" s="71"/>
      <c r="E54" s="71"/>
      <c r="F54" s="71"/>
      <c r="G54" s="288"/>
      <c r="H54" s="288"/>
      <c r="I54" s="288"/>
      <c r="J54" s="288"/>
      <c r="K54" s="288"/>
      <c r="L54" s="288"/>
      <c r="O54" s="440"/>
    </row>
    <row r="55" spans="1:15" ht="12.75">
      <c r="A55" s="176"/>
      <c r="B55" s="173" t="s">
        <v>1229</v>
      </c>
      <c r="C55" s="175"/>
      <c r="D55" s="256" t="e">
        <f>-'TRF-26'!B38</f>
        <v>#REF!</v>
      </c>
      <c r="E55" s="256" t="e">
        <f>-'TRF-26'!E46</f>
        <v>#REF!</v>
      </c>
      <c r="F55" s="256" t="e">
        <f>-'TRF-26'!F46</f>
        <v>#REF!</v>
      </c>
      <c r="G55" s="256">
        <f>-'TRF-26'!G46+0.01</f>
        <v>77.76957274867262</v>
      </c>
      <c r="H55" s="256">
        <v>160.07</v>
      </c>
      <c r="I55" s="256">
        <f>-'TRF-26'!I46</f>
        <v>214.22671894867256</v>
      </c>
      <c r="J55" s="256">
        <v>181.97</v>
      </c>
      <c r="K55" s="256">
        <f>-'TRF-26'!K46</f>
        <v>222.43308637532016</v>
      </c>
      <c r="L55" s="256">
        <f>-'TRF-26'!L46</f>
        <v>392.23329847210744</v>
      </c>
      <c r="O55" s="440">
        <v>181.97</v>
      </c>
    </row>
    <row r="56" spans="1:15" ht="8.25" customHeight="1">
      <c r="A56" s="176"/>
      <c r="B56" s="176"/>
      <c r="C56" s="176"/>
      <c r="D56" s="71"/>
      <c r="E56" s="71"/>
      <c r="F56" s="71"/>
      <c r="G56" s="288"/>
      <c r="H56" s="288"/>
      <c r="I56" s="288"/>
      <c r="J56" s="288"/>
      <c r="K56" s="288"/>
      <c r="L56" s="288"/>
      <c r="O56" s="440"/>
    </row>
    <row r="57" spans="1:15" ht="12.75">
      <c r="A57" s="176"/>
      <c r="B57" s="172" t="s">
        <v>1105</v>
      </c>
      <c r="C57" s="172"/>
      <c r="D57" s="255" t="e">
        <f aca="true" t="shared" si="8" ref="D57:I57">SUM(D55,D52,D36,D34,D32,D53)</f>
        <v>#REF!</v>
      </c>
      <c r="E57" s="255" t="e">
        <f t="shared" si="8"/>
        <v>#REF!</v>
      </c>
      <c r="F57" s="255" t="e">
        <f t="shared" si="8"/>
        <v>#REF!</v>
      </c>
      <c r="G57" s="255">
        <f t="shared" si="8"/>
        <v>1947.9500386486727</v>
      </c>
      <c r="H57" s="255">
        <f t="shared" si="8"/>
        <v>1801.5349999999999</v>
      </c>
      <c r="I57" s="255">
        <f t="shared" si="8"/>
        <v>1804.5933310700723</v>
      </c>
      <c r="J57" s="255">
        <f>SUM(J55,J52,J36,J34,J32,J53)+0.01</f>
        <v>1865.7012622500001</v>
      </c>
      <c r="K57" s="255">
        <f>SUM(K55,K52,K36,K34,K32,K53)</f>
        <v>2219.80421776282</v>
      </c>
      <c r="L57" s="255">
        <f>SUM(L55,L52,L36,L34,L32,L53)</f>
        <v>2719.665371879391</v>
      </c>
      <c r="O57" s="440">
        <v>1865.6912622500001</v>
      </c>
    </row>
    <row r="58" spans="1:6" ht="10.5" customHeight="1">
      <c r="A58" s="258"/>
      <c r="B58" s="258"/>
      <c r="C58" s="258"/>
      <c r="D58" s="258"/>
      <c r="E58" s="258"/>
      <c r="F58" s="258"/>
    </row>
    <row r="59" spans="1:6" ht="10.5" customHeight="1">
      <c r="A59" s="258"/>
      <c r="B59" s="258"/>
      <c r="C59" s="258"/>
      <c r="D59" s="258"/>
      <c r="E59" s="258"/>
      <c r="F59" s="258"/>
    </row>
    <row r="60" spans="1:12" ht="15.75" customHeight="1">
      <c r="A60" s="171"/>
      <c r="B60" s="171" t="s">
        <v>497</v>
      </c>
      <c r="C60" s="171"/>
      <c r="D60" s="259" t="e">
        <f>+D57-D26</f>
        <v>#REF!</v>
      </c>
      <c r="E60" s="259" t="e">
        <f aca="true" t="shared" si="9" ref="E60:J60">E26-E57</f>
        <v>#REF!</v>
      </c>
      <c r="F60" s="259" t="e">
        <f t="shared" si="9"/>
        <v>#REF!</v>
      </c>
      <c r="G60" s="259">
        <f t="shared" si="9"/>
        <v>-0.0017052486725788185</v>
      </c>
      <c r="H60" s="259">
        <f t="shared" si="9"/>
        <v>0.0005334000004495465</v>
      </c>
      <c r="I60" s="259">
        <f t="shared" si="9"/>
        <v>9.045460829927606</v>
      </c>
      <c r="J60" s="259">
        <f t="shared" si="9"/>
        <v>-0.0027873500000623608</v>
      </c>
      <c r="K60" s="259">
        <f>K26-K57</f>
        <v>0.00037235718036754406</v>
      </c>
      <c r="L60" s="259">
        <f>L26-L57</f>
        <v>0.0035455606089271896</v>
      </c>
    </row>
    <row r="61" spans="1:7" ht="12.75">
      <c r="A61" s="171"/>
      <c r="B61" s="177"/>
      <c r="C61" s="177"/>
      <c r="D61" s="177"/>
      <c r="E61" s="200"/>
      <c r="F61" s="200"/>
      <c r="G61" s="200"/>
    </row>
    <row r="62" spans="1:4" ht="12.75">
      <c r="A62" s="171" t="s">
        <v>1122</v>
      </c>
      <c r="B62" s="177"/>
      <c r="C62" s="177"/>
      <c r="D62" s="177"/>
    </row>
    <row r="63" spans="1:10" ht="12.75">
      <c r="A63" s="171"/>
      <c r="B63" s="177"/>
      <c r="C63" s="177"/>
      <c r="D63" s="177"/>
      <c r="J63" s="200">
        <f>J32+J34+J36+J40+J41+J42+J43+J44</f>
        <v>2436.9392531</v>
      </c>
    </row>
    <row r="64" ht="12.75">
      <c r="J64" s="200">
        <f>J26+J47</f>
        <v>2804.7284749</v>
      </c>
    </row>
    <row r="65" ht="12.75">
      <c r="J65" s="200">
        <f>J63-J64</f>
        <v>-367.7892218000002</v>
      </c>
    </row>
    <row r="68" ht="12.75">
      <c r="B68" s="178" t="s">
        <v>244</v>
      </c>
    </row>
    <row r="70" spans="2:10" ht="12.75">
      <c r="B70" s="178" t="s">
        <v>245</v>
      </c>
      <c r="J70" s="178">
        <v>661.25</v>
      </c>
    </row>
    <row r="71" spans="2:10" ht="12.75">
      <c r="B71" s="178" t="s">
        <v>246</v>
      </c>
      <c r="J71" s="178">
        <v>181.97</v>
      </c>
    </row>
    <row r="72" ht="12.75">
      <c r="J72" s="228">
        <f>J70+J71</f>
        <v>843.22</v>
      </c>
    </row>
    <row r="74" spans="2:10" ht="12.75">
      <c r="B74" s="179" t="s">
        <v>712</v>
      </c>
      <c r="J74" s="200">
        <f>J49</f>
        <v>395.83</v>
      </c>
    </row>
    <row r="75" spans="2:10" ht="12.75">
      <c r="B75" s="441" t="s">
        <v>247</v>
      </c>
      <c r="J75" s="178">
        <v>53.18</v>
      </c>
    </row>
    <row r="76" ht="12.75">
      <c r="B76" s="200">
        <f>J74-J77</f>
        <v>305.48655859999997</v>
      </c>
    </row>
    <row r="77" spans="2:12" ht="12.75">
      <c r="B77" s="178" t="s">
        <v>248</v>
      </c>
      <c r="J77" s="200">
        <f>'TRF-3'!J89</f>
        <v>90.3434414</v>
      </c>
      <c r="K77" s="200">
        <f>'TRF-3'!P89</f>
        <v>116.63344140000001</v>
      </c>
      <c r="L77" s="200">
        <f>'TRF-3'!V89</f>
        <v>143.9034414</v>
      </c>
    </row>
    <row r="78" ht="12.75">
      <c r="K78" s="200"/>
    </row>
    <row r="79" spans="2:10" ht="12.75">
      <c r="B79" s="441" t="s">
        <v>249</v>
      </c>
      <c r="J79" s="178">
        <f>195.11-0.78</f>
        <v>194.33</v>
      </c>
    </row>
    <row r="81" spans="2:10" ht="12.75">
      <c r="B81" s="178" t="s">
        <v>247</v>
      </c>
      <c r="J81" s="178">
        <v>51.15</v>
      </c>
    </row>
    <row r="82" ht="12.75">
      <c r="B82" s="178" t="s">
        <v>250</v>
      </c>
    </row>
    <row r="83" ht="12.75">
      <c r="B83" s="178" t="s">
        <v>251</v>
      </c>
    </row>
    <row r="84" ht="12.75">
      <c r="B84" s="178" t="s">
        <v>252</v>
      </c>
    </row>
    <row r="86" spans="2:10" ht="12.75">
      <c r="B86" s="178" t="s">
        <v>253</v>
      </c>
      <c r="J86" s="178">
        <f>7.81-0.98</f>
        <v>6.83</v>
      </c>
    </row>
    <row r="87" ht="12.75">
      <c r="J87" s="293">
        <f>SUM(J75:J86)</f>
        <v>395.83344139999997</v>
      </c>
    </row>
    <row r="90" spans="2:10" ht="12.75">
      <c r="B90" s="179" t="s">
        <v>711</v>
      </c>
      <c r="J90" s="200">
        <f>J50</f>
        <v>543.2</v>
      </c>
    </row>
    <row r="92" spans="2:11" ht="12.75">
      <c r="B92" s="178" t="s">
        <v>255</v>
      </c>
      <c r="J92" s="178">
        <v>389.73</v>
      </c>
      <c r="K92" s="178">
        <f>J92-10</f>
        <v>379.73</v>
      </c>
    </row>
    <row r="93" spans="2:10" ht="12.75">
      <c r="B93" s="178" t="s">
        <v>256</v>
      </c>
      <c r="J93" s="178">
        <v>153.47</v>
      </c>
    </row>
    <row r="94" ht="12.75">
      <c r="J94" s="228">
        <f>J92+J93</f>
        <v>543.2</v>
      </c>
    </row>
  </sheetData>
  <sheetProtection/>
  <printOptions horizontalCentered="1"/>
  <pageMargins left="0.42" right="0.09" top="0.33" bottom="0.31" header="0.35" footer="0.27"/>
  <pageSetup horizontalDpi="600" verticalDpi="600" orientation="portrait" paperSize="9" r:id="rId1"/>
  <headerFooter alignWithMargins="0">
    <oddFooter>&amp;L&amp;8&amp;F-&amp;A&amp;CPage-&amp;P of 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D24" sqref="D24"/>
    </sheetView>
  </sheetViews>
  <sheetFormatPr defaultColWidth="8.8515625" defaultRowHeight="12.75"/>
  <cols>
    <col min="1" max="1" width="8.8515625" style="45" customWidth="1"/>
    <col min="2" max="2" width="42.7109375" style="45" customWidth="1"/>
    <col min="3" max="3" width="22.140625" style="45" customWidth="1"/>
    <col min="4" max="4" width="17.8515625" style="45" customWidth="1"/>
    <col min="5" max="16384" width="8.8515625" style="45" customWidth="1"/>
  </cols>
  <sheetData>
    <row r="1" spans="1:3" s="1" customFormat="1" ht="12.75">
      <c r="A1" s="1" t="s">
        <v>61</v>
      </c>
      <c r="B1" s="1" t="s">
        <v>1104</v>
      </c>
      <c r="C1" s="1" t="s">
        <v>62</v>
      </c>
    </row>
    <row r="2" spans="1:3" ht="12.75">
      <c r="A2" s="45" t="s">
        <v>63</v>
      </c>
      <c r="B2" s="45" t="s">
        <v>64</v>
      </c>
      <c r="C2" s="45" t="s">
        <v>933</v>
      </c>
    </row>
    <row r="3" spans="1:3" ht="12.75">
      <c r="A3" s="45" t="s">
        <v>65</v>
      </c>
      <c r="B3" s="45" t="s">
        <v>1214</v>
      </c>
      <c r="C3" s="45" t="s">
        <v>535</v>
      </c>
    </row>
    <row r="4" spans="1:3" ht="12.75">
      <c r="A4" s="45" t="s">
        <v>66</v>
      </c>
      <c r="B4" s="45" t="s">
        <v>67</v>
      </c>
      <c r="C4" s="45" t="s">
        <v>933</v>
      </c>
    </row>
    <row r="5" spans="1:3" ht="12.75">
      <c r="A5" s="45" t="s">
        <v>68</v>
      </c>
      <c r="B5" s="45" t="s">
        <v>69</v>
      </c>
      <c r="C5" s="45" t="s">
        <v>1378</v>
      </c>
    </row>
    <row r="6" spans="1:3" ht="12.75">
      <c r="A6" s="45" t="s">
        <v>70</v>
      </c>
      <c r="B6" s="45" t="s">
        <v>71</v>
      </c>
      <c r="C6" s="45" t="s">
        <v>933</v>
      </c>
    </row>
    <row r="7" spans="1:3" ht="12.75">
      <c r="A7" s="45" t="s">
        <v>72</v>
      </c>
      <c r="B7" s="45" t="s">
        <v>71</v>
      </c>
      <c r="C7" s="45" t="s">
        <v>933</v>
      </c>
    </row>
    <row r="8" spans="1:3" ht="12.75">
      <c r="A8" s="45" t="s">
        <v>73</v>
      </c>
      <c r="B8" s="45" t="s">
        <v>1025</v>
      </c>
      <c r="C8" s="45" t="s">
        <v>933</v>
      </c>
    </row>
    <row r="9" spans="1:3" ht="12.75">
      <c r="A9" s="45" t="s">
        <v>74</v>
      </c>
      <c r="B9" s="45" t="s">
        <v>75</v>
      </c>
      <c r="C9" s="45" t="s">
        <v>933</v>
      </c>
    </row>
    <row r="10" spans="1:3" ht="12.75">
      <c r="A10" s="45" t="s">
        <v>76</v>
      </c>
      <c r="B10" s="45" t="s">
        <v>77</v>
      </c>
      <c r="C10" s="45" t="s">
        <v>933</v>
      </c>
    </row>
    <row r="11" spans="1:3" ht="12.75">
      <c r="A11" s="45" t="s">
        <v>78</v>
      </c>
      <c r="B11" s="45" t="s">
        <v>79</v>
      </c>
      <c r="C11" s="45" t="s">
        <v>933</v>
      </c>
    </row>
    <row r="12" spans="1:3" ht="12.75">
      <c r="A12" s="45" t="s">
        <v>80</v>
      </c>
      <c r="B12" s="45" t="s">
        <v>438</v>
      </c>
      <c r="C12" s="45" t="s">
        <v>933</v>
      </c>
    </row>
    <row r="13" spans="1:3" ht="12.75">
      <c r="A13" s="45" t="s">
        <v>81</v>
      </c>
      <c r="B13" s="45" t="s">
        <v>1203</v>
      </c>
      <c r="C13" s="45" t="s">
        <v>933</v>
      </c>
    </row>
    <row r="14" spans="1:3" ht="12.75">
      <c r="A14" s="45" t="s">
        <v>82</v>
      </c>
      <c r="B14" s="45" t="s">
        <v>947</v>
      </c>
      <c r="C14" s="45" t="s">
        <v>933</v>
      </c>
    </row>
    <row r="15" spans="1:3" ht="12.75">
      <c r="A15" s="45" t="s">
        <v>83</v>
      </c>
      <c r="B15" s="45" t="s">
        <v>84</v>
      </c>
      <c r="C15" s="45" t="s">
        <v>933</v>
      </c>
    </row>
    <row r="16" spans="1:3" ht="12.75">
      <c r="A16" s="45" t="s">
        <v>85</v>
      </c>
      <c r="B16" s="45" t="s">
        <v>86</v>
      </c>
      <c r="C16" s="45" t="s">
        <v>933</v>
      </c>
    </row>
    <row r="17" spans="1:3" ht="12.75">
      <c r="A17" s="45" t="s">
        <v>87</v>
      </c>
      <c r="B17" s="45" t="s">
        <v>88</v>
      </c>
      <c r="C17" s="45" t="s">
        <v>933</v>
      </c>
    </row>
    <row r="18" spans="1:3" ht="12.75">
      <c r="A18" s="45" t="s">
        <v>89</v>
      </c>
      <c r="B18" s="45" t="s">
        <v>90</v>
      </c>
      <c r="C18" s="45" t="s">
        <v>933</v>
      </c>
    </row>
    <row r="19" spans="1:3" ht="12.75">
      <c r="A19" s="45" t="s">
        <v>91</v>
      </c>
      <c r="B19" s="45" t="s">
        <v>785</v>
      </c>
      <c r="C19" s="45" t="s">
        <v>933</v>
      </c>
    </row>
    <row r="20" spans="1:3" ht="12.75">
      <c r="A20" s="45" t="s">
        <v>786</v>
      </c>
      <c r="B20" s="45" t="s">
        <v>787</v>
      </c>
      <c r="C20" s="45" t="s">
        <v>933</v>
      </c>
    </row>
    <row r="21" spans="1:3" ht="12.75">
      <c r="A21" s="45" t="s">
        <v>788</v>
      </c>
      <c r="B21" s="45" t="s">
        <v>789</v>
      </c>
      <c r="C21" s="45" t="s">
        <v>933</v>
      </c>
    </row>
    <row r="22" spans="1:3" ht="12.75">
      <c r="A22" s="45" t="s">
        <v>790</v>
      </c>
      <c r="B22" s="45" t="s">
        <v>791</v>
      </c>
      <c r="C22" s="45" t="s">
        <v>933</v>
      </c>
    </row>
    <row r="23" spans="1:3" ht="12.75">
      <c r="A23" s="45" t="s">
        <v>792</v>
      </c>
      <c r="B23" s="45" t="s">
        <v>46</v>
      </c>
      <c r="C23" s="45" t="s">
        <v>933</v>
      </c>
    </row>
    <row r="24" spans="1:3" ht="12.75">
      <c r="A24" s="45" t="s">
        <v>793</v>
      </c>
      <c r="B24" s="45" t="s">
        <v>536</v>
      </c>
      <c r="C24" s="45" t="s">
        <v>933</v>
      </c>
    </row>
    <row r="25" spans="1:3" ht="12.75">
      <c r="A25" s="45" t="s">
        <v>794</v>
      </c>
      <c r="B25" s="45" t="s">
        <v>795</v>
      </c>
      <c r="C25" s="45" t="s">
        <v>933</v>
      </c>
    </row>
    <row r="26" spans="1:3" ht="12.75">
      <c r="A26" s="45" t="s">
        <v>955</v>
      </c>
      <c r="B26" s="45" t="s">
        <v>796</v>
      </c>
      <c r="C26" s="45" t="s">
        <v>933</v>
      </c>
    </row>
    <row r="27" spans="1:3" ht="12.75">
      <c r="A27" s="45" t="s">
        <v>797</v>
      </c>
      <c r="B27" s="45" t="s">
        <v>900</v>
      </c>
      <c r="C27" s="45" t="s">
        <v>933</v>
      </c>
    </row>
    <row r="28" spans="1:3" ht="12.75">
      <c r="A28" s="45" t="s">
        <v>901</v>
      </c>
      <c r="B28" s="45" t="s">
        <v>902</v>
      </c>
      <c r="C28" s="45" t="s">
        <v>933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52"/>
  <sheetViews>
    <sheetView zoomScalePageLayoutView="0" workbookViewId="0" topLeftCell="A14">
      <selection activeCell="M52" sqref="M52"/>
    </sheetView>
  </sheetViews>
  <sheetFormatPr defaultColWidth="9.140625" defaultRowHeight="12.75"/>
  <cols>
    <col min="1" max="1" width="46.7109375" style="114" customWidth="1"/>
    <col min="2" max="4" width="12.7109375" style="114" hidden="1" customWidth="1"/>
    <col min="5" max="5" width="13.57421875" style="114" hidden="1" customWidth="1"/>
    <col min="6" max="6" width="15.57421875" style="114" hidden="1" customWidth="1"/>
    <col min="7" max="7" width="14.28125" style="114" hidden="1" customWidth="1"/>
    <col min="8" max="8" width="11.8515625" style="114" hidden="1" customWidth="1"/>
    <col min="9" max="9" width="12.7109375" style="114" hidden="1" customWidth="1"/>
    <col min="10" max="12" width="12.57421875" style="114" customWidth="1"/>
    <col min="13" max="13" width="9.140625" style="114" customWidth="1"/>
    <col min="14" max="14" width="9.8515625" style="114" bestFit="1" customWidth="1"/>
    <col min="15" max="16384" width="9.140625" style="114" customWidth="1"/>
  </cols>
  <sheetData>
    <row r="3" ht="12.75">
      <c r="A3" s="9" t="str">
        <f>'TRF-25'!A2</f>
        <v>Licencee : ….ODISHA POWER TRANSMISSION CORPORATION LIMITED.</v>
      </c>
    </row>
    <row r="4" spans="1:7" ht="12.75">
      <c r="A4" s="9"/>
      <c r="G4" s="228"/>
    </row>
    <row r="5" ht="12.75">
      <c r="A5" s="289" t="s">
        <v>1230</v>
      </c>
    </row>
    <row r="6" spans="1:10" ht="12.75">
      <c r="A6" s="284"/>
      <c r="J6" s="228" t="s">
        <v>1300</v>
      </c>
    </row>
    <row r="7" ht="12.75">
      <c r="A7" s="105" t="s">
        <v>1350</v>
      </c>
    </row>
    <row r="8" spans="1:10" ht="12.75">
      <c r="A8" s="105" t="s">
        <v>1351</v>
      </c>
      <c r="J8" s="228" t="s">
        <v>857</v>
      </c>
    </row>
    <row r="9" spans="1:9" ht="12.75">
      <c r="A9" s="105" t="s">
        <v>1352</v>
      </c>
      <c r="I9" s="177"/>
    </row>
    <row r="10" ht="12.75">
      <c r="I10" s="177"/>
    </row>
    <row r="11" spans="1:12" ht="38.25" customHeight="1">
      <c r="A11" s="15"/>
      <c r="B11" s="150" t="s">
        <v>908</v>
      </c>
      <c r="C11" s="150" t="s">
        <v>1195</v>
      </c>
      <c r="D11" s="150" t="s">
        <v>1196</v>
      </c>
      <c r="E11" s="150" t="s">
        <v>178</v>
      </c>
      <c r="F11" s="150" t="s">
        <v>992</v>
      </c>
      <c r="G11" s="150" t="s">
        <v>975</v>
      </c>
      <c r="H11" s="150" t="s">
        <v>981</v>
      </c>
      <c r="I11" s="150" t="s">
        <v>982</v>
      </c>
      <c r="J11" s="150" t="s">
        <v>843</v>
      </c>
      <c r="K11" s="150" t="s">
        <v>1313</v>
      </c>
      <c r="L11" s="150" t="s">
        <v>1395</v>
      </c>
    </row>
    <row r="12" spans="1:12" ht="12.75">
      <c r="A12" s="79"/>
      <c r="B12" s="180"/>
      <c r="C12" s="180">
        <v>2</v>
      </c>
      <c r="D12" s="180" t="s">
        <v>970</v>
      </c>
      <c r="E12" s="180"/>
      <c r="F12" s="180"/>
      <c r="G12" s="180"/>
      <c r="H12" s="180"/>
      <c r="I12" s="180"/>
      <c r="J12" s="180"/>
      <c r="K12" s="180"/>
      <c r="L12" s="180"/>
    </row>
    <row r="13" spans="1:12" ht="12.75">
      <c r="A13" s="229" t="s">
        <v>1231</v>
      </c>
      <c r="B13" s="43">
        <f aca="true" t="shared" si="0" ref="B13:H13">SUM(B14:B20)</f>
        <v>382.36131972500004</v>
      </c>
      <c r="C13" s="43" t="e">
        <f t="shared" si="0"/>
        <v>#REF!</v>
      </c>
      <c r="D13" s="43" t="e">
        <f t="shared" si="0"/>
        <v>#REF!</v>
      </c>
      <c r="E13" s="43">
        <f t="shared" si="0"/>
        <v>372.2062248075</v>
      </c>
      <c r="F13" s="43">
        <f>SUM(F14:F20)+0.01</f>
        <v>427.96824999999995</v>
      </c>
      <c r="G13" s="43">
        <f>SUM(G14:G20)</f>
        <v>715.7583099999999</v>
      </c>
      <c r="H13" s="43">
        <f t="shared" si="0"/>
        <v>441.78340999999995</v>
      </c>
      <c r="I13" s="43">
        <f>SUM(I14:I20)</f>
        <v>433.41640500000005</v>
      </c>
      <c r="J13" s="43">
        <f>SUM(J14:J20)</f>
        <v>591.9820091499998</v>
      </c>
      <c r="K13" s="43">
        <f>SUM(K14:K20)</f>
        <v>603.56732735</v>
      </c>
      <c r="L13" s="43">
        <f>SUM(L14:L20)</f>
        <v>650.425</v>
      </c>
    </row>
    <row r="14" spans="1:12" ht="12.75">
      <c r="A14" s="79" t="s">
        <v>556</v>
      </c>
      <c r="B14" s="58">
        <f>'TRF-6'!D11</f>
        <v>336.83414450000004</v>
      </c>
      <c r="C14" s="58" t="e">
        <f>'TRF-6'!#REF!</f>
        <v>#REF!</v>
      </c>
      <c r="D14" s="58" t="e">
        <f>B14-C14</f>
        <v>#REF!</v>
      </c>
      <c r="E14" s="58">
        <f>'TRF-6'!E9</f>
        <v>332.55135023</v>
      </c>
      <c r="F14" s="58">
        <f>'TRF-6'!F9</f>
        <v>378.63232</v>
      </c>
      <c r="G14" s="58">
        <f>'TRF-6'!G9</f>
        <v>394.59272999999996</v>
      </c>
      <c r="H14" s="58">
        <f>'TRF-6'!H9</f>
        <v>400.39478999999994</v>
      </c>
      <c r="I14" s="58">
        <f>'TRF-6'!I9</f>
        <v>496.76367999999997</v>
      </c>
      <c r="J14" s="58">
        <f>'TRF-6'!J9</f>
        <v>531.4356779999999</v>
      </c>
      <c r="K14" s="58">
        <f>'TRF-6'!K9</f>
        <v>560.6228429500001</v>
      </c>
      <c r="L14" s="58">
        <f>'TRF-6'!L9</f>
        <v>628.125</v>
      </c>
    </row>
    <row r="15" spans="1:12" ht="12.75">
      <c r="A15" s="79" t="s">
        <v>237</v>
      </c>
      <c r="B15" s="58">
        <f>'TRF-6'!D13</f>
        <v>0</v>
      </c>
      <c r="C15" s="58" t="e">
        <f>'TRF-6'!#REF!</f>
        <v>#REF!</v>
      </c>
      <c r="D15" s="58" t="e">
        <f aca="true" t="shared" si="1" ref="D15:D22">B15-C15</f>
        <v>#REF!</v>
      </c>
      <c r="E15" s="58">
        <v>0</v>
      </c>
      <c r="F15" s="58">
        <v>0</v>
      </c>
      <c r="G15" s="58">
        <v>0</v>
      </c>
      <c r="H15" s="58">
        <v>0</v>
      </c>
      <c r="I15" s="58">
        <f>'TRF-6'!I22</f>
        <v>28.83</v>
      </c>
      <c r="J15" s="58">
        <f>'TRF-6'!J22</f>
        <v>7.8732</v>
      </c>
      <c r="K15" s="58">
        <f>'TRF-6'!K22</f>
        <v>0</v>
      </c>
      <c r="L15" s="58">
        <f>'TRF-6'!L22</f>
        <v>0</v>
      </c>
    </row>
    <row r="16" spans="1:12" ht="12.75">
      <c r="A16" s="79" t="s">
        <v>238</v>
      </c>
      <c r="B16" s="58">
        <f>'TRF-6'!D14</f>
        <v>4.040093525</v>
      </c>
      <c r="C16" s="58" t="e">
        <f>'TRF-6'!#REF!</f>
        <v>#REF!</v>
      </c>
      <c r="D16" s="58" t="e">
        <f t="shared" si="1"/>
        <v>#REF!</v>
      </c>
      <c r="E16" s="58">
        <f>'TRF-6'!E14</f>
        <v>0.35112</v>
      </c>
      <c r="F16" s="58">
        <f>'TRF-6'!F14</f>
        <v>1.9239000000000002</v>
      </c>
      <c r="G16" s="58">
        <f>'TRF-6'!G14</f>
        <v>3.7644599999999997</v>
      </c>
      <c r="H16" s="58">
        <f>'TRF-6'!H14</f>
        <v>5.63545</v>
      </c>
      <c r="I16" s="58">
        <f>'TRF-6'!I14</f>
        <v>8.02948</v>
      </c>
      <c r="J16" s="58">
        <f>'TRF-6'!J14</f>
        <v>5.58114085</v>
      </c>
      <c r="K16" s="58">
        <f>'TRF-6'!K14</f>
        <v>16.5876092</v>
      </c>
      <c r="L16" s="58">
        <f>'TRF-6'!L14</f>
        <v>2.5</v>
      </c>
    </row>
    <row r="17" spans="1:12" ht="12.75">
      <c r="A17" s="79" t="s">
        <v>948</v>
      </c>
      <c r="B17" s="58">
        <f>'TRF-6'!D21</f>
        <v>13.8770817</v>
      </c>
      <c r="C17" s="58" t="e">
        <f>'TRF-6'!#REF!</f>
        <v>#REF!</v>
      </c>
      <c r="D17" s="58" t="e">
        <f t="shared" si="1"/>
        <v>#REF!</v>
      </c>
      <c r="E17" s="58">
        <f>'TRF-6'!E21</f>
        <v>18.084</v>
      </c>
      <c r="F17" s="58">
        <f>'TRF-6'!F21</f>
        <v>16.78578</v>
      </c>
      <c r="G17" s="58">
        <f>'TRF-6'!G21</f>
        <v>7.460669999999999</v>
      </c>
      <c r="H17" s="58">
        <f>'TRF-6'!H21</f>
        <v>4.829594999999999</v>
      </c>
      <c r="I17" s="58">
        <f>'TRF-6'!I23</f>
        <v>0</v>
      </c>
      <c r="J17" s="58">
        <f>'TRF-6'!J23</f>
        <v>0</v>
      </c>
      <c r="K17" s="58">
        <f>'TRF-6'!K23</f>
        <v>0</v>
      </c>
      <c r="L17" s="58">
        <f>'TRF-6'!L23</f>
        <v>0</v>
      </c>
    </row>
    <row r="18" spans="1:12" ht="12.75">
      <c r="A18" s="79" t="s">
        <v>238</v>
      </c>
      <c r="B18" s="58">
        <f>'TRF-6'!D22</f>
        <v>7.319999999999993</v>
      </c>
      <c r="C18" s="58" t="e">
        <f>'TRF-6'!#REF!</f>
        <v>#REF!</v>
      </c>
      <c r="D18" s="58" t="e">
        <f t="shared" si="1"/>
        <v>#REF!</v>
      </c>
      <c r="E18" s="58">
        <f>'TRF-6'!E22</f>
        <v>4.3597545774999995</v>
      </c>
      <c r="F18" s="58">
        <f>'TRF-6'!F22</f>
        <v>2.40625</v>
      </c>
      <c r="G18" s="58">
        <f>'TRF-6'!G22</f>
        <v>7.32045</v>
      </c>
      <c r="H18" s="58">
        <f>'TRF-6'!H22</f>
        <v>27.193575000000003</v>
      </c>
      <c r="I18" s="58">
        <f>'TRF-6'!I21</f>
        <v>7.183244999999999</v>
      </c>
      <c r="J18" s="58">
        <f>'TRF-6'!J21</f>
        <v>8.9119903</v>
      </c>
      <c r="K18" s="58">
        <f>'TRF-6'!K21</f>
        <v>14.3568752</v>
      </c>
      <c r="L18" s="58">
        <f>'TRF-6'!L21</f>
        <v>7.8</v>
      </c>
    </row>
    <row r="19" spans="1:12" ht="12.75">
      <c r="A19" s="79" t="s">
        <v>16</v>
      </c>
      <c r="B19" s="260">
        <f>'TRF-6'!D23</f>
        <v>0</v>
      </c>
      <c r="C19" s="260" t="e">
        <f>'TRF-6'!#REF!</f>
        <v>#REF!</v>
      </c>
      <c r="D19" s="58" t="e">
        <f t="shared" si="1"/>
        <v>#REF!</v>
      </c>
      <c r="E19" s="260">
        <v>0</v>
      </c>
      <c r="F19" s="260">
        <v>0</v>
      </c>
      <c r="G19" s="260">
        <v>265.78</v>
      </c>
      <c r="H19" s="260">
        <f>-132.89</f>
        <v>-132.89</v>
      </c>
      <c r="I19" s="260">
        <f>-132.89</f>
        <v>-132.89</v>
      </c>
      <c r="J19" s="260">
        <v>0</v>
      </c>
      <c r="K19" s="260">
        <v>0</v>
      </c>
      <c r="L19" s="260">
        <v>0</v>
      </c>
    </row>
    <row r="20" spans="1:12" ht="12.75">
      <c r="A20" s="79" t="s">
        <v>903</v>
      </c>
      <c r="B20" s="260">
        <f>'TRF-6'!D24+'TRF-6'!D25+'TRF-6'!D15</f>
        <v>20.29</v>
      </c>
      <c r="C20" s="260" t="e">
        <f>'TRF-6'!#REF!+'TRF-6'!#REF!+'TRF-6'!#REF!</f>
        <v>#REF!</v>
      </c>
      <c r="D20" s="58" t="e">
        <f t="shared" si="1"/>
        <v>#REF!</v>
      </c>
      <c r="E20" s="260">
        <f>'TRF-6'!E25</f>
        <v>16.86</v>
      </c>
      <c r="F20" s="260">
        <f>'TRF-6'!F25</f>
        <v>28.21</v>
      </c>
      <c r="G20" s="260">
        <f>'TRF-6'!G25</f>
        <v>36.84</v>
      </c>
      <c r="H20" s="260">
        <f>'TRF-6'!H25</f>
        <v>136.62</v>
      </c>
      <c r="I20" s="260">
        <f>'TRF-6'!I25</f>
        <v>25.5</v>
      </c>
      <c r="J20" s="260">
        <f>'TRF-6'!J25</f>
        <v>38.18000000000001</v>
      </c>
      <c r="K20" s="260">
        <f>'TRF-6'!K25</f>
        <v>12</v>
      </c>
      <c r="L20" s="260">
        <f>'TRF-6'!L25</f>
        <v>12</v>
      </c>
    </row>
    <row r="21" spans="1:12" ht="12.75">
      <c r="A21" s="229" t="s">
        <v>1232</v>
      </c>
      <c r="B21" s="43" t="e">
        <f aca="true" t="shared" si="2" ref="B21:K21">B22+B25+B26</f>
        <v>#REF!</v>
      </c>
      <c r="C21" s="43" t="e">
        <f t="shared" si="2"/>
        <v>#REF!</v>
      </c>
      <c r="D21" s="43" t="e">
        <f t="shared" si="2"/>
        <v>#REF!</v>
      </c>
      <c r="E21" s="43" t="e">
        <f t="shared" si="2"/>
        <v>#REF!</v>
      </c>
      <c r="F21" s="43" t="e">
        <f t="shared" si="2"/>
        <v>#REF!</v>
      </c>
      <c r="G21" s="43">
        <f t="shared" si="2"/>
        <v>637.5678827486726</v>
      </c>
      <c r="H21" s="43">
        <f t="shared" si="2"/>
        <v>457.87</v>
      </c>
      <c r="I21" s="43">
        <f t="shared" si="2"/>
        <v>411.66696119999995</v>
      </c>
      <c r="J21" s="43">
        <f t="shared" si="2"/>
        <v>525.4984548</v>
      </c>
      <c r="K21" s="43">
        <f t="shared" si="2"/>
        <v>537.817579</v>
      </c>
      <c r="L21" s="43">
        <f>L22+L25+L26</f>
        <v>656.4050073360489</v>
      </c>
    </row>
    <row r="22" spans="1:12" ht="12.75">
      <c r="A22" s="79" t="s">
        <v>1233</v>
      </c>
      <c r="B22" s="58"/>
      <c r="C22" s="58" t="e">
        <f>'TRF-6'!#REF!</f>
        <v>#REF!</v>
      </c>
      <c r="D22" s="58" t="e">
        <f t="shared" si="1"/>
        <v>#REF!</v>
      </c>
      <c r="E22" s="58"/>
      <c r="F22" s="58"/>
      <c r="G22" s="58"/>
      <c r="H22" s="58"/>
      <c r="I22" s="58"/>
      <c r="J22" s="58"/>
      <c r="K22" s="58"/>
      <c r="L22" s="58"/>
    </row>
    <row r="23" spans="1:12" ht="24" customHeight="1">
      <c r="A23" s="76" t="s">
        <v>1234</v>
      </c>
      <c r="B23" s="181" t="e">
        <f>SUM('TRF-6'!D31:D35)+SUM('TRF-6'!D40:D43)+SUM('TRF-6'!D46:D49)+B24+0.1</f>
        <v>#REF!</v>
      </c>
      <c r="C23" s="181" t="e">
        <f>SUM('TRF-6'!E31:E35)+SUM('TRF-6'!E40:E43)+SUM('TRF-6'!E46:E49)+C24-0.01</f>
        <v>#REF!</v>
      </c>
      <c r="D23" s="181" t="e">
        <f>SUM('TRF-6'!F31:F35)+SUM('TRF-6'!F40:F43)+SUM('TRF-6'!F46:F49)+D24-0.01</f>
        <v>#REF!</v>
      </c>
      <c r="E23" s="181" t="e">
        <f>'TRF-6'!E52-'TRF-6'!E37-'TRF-6'!E44-'TRF-6'!E50+8.88</f>
        <v>#REF!</v>
      </c>
      <c r="F23" s="181" t="e">
        <f>'TRF-6'!F52-'TRF-6'!F37-'TRF-6'!F44-'TRF-6'!F50+5.09</f>
        <v>#REF!</v>
      </c>
      <c r="G23" s="181">
        <f>'TRF-6'!G52-'TRF-6'!G37-'TRF-6'!G44-'TRF-6'!G45-'TRF-6'!G50+7.66</f>
        <v>535.4037475486725</v>
      </c>
      <c r="H23" s="181">
        <f>'TRF-6'!H52-'TRF-6'!H37-'TRF-6'!H44-'TRF-6'!H45-'TRF-6'!H50+5.69</f>
        <v>355.52</v>
      </c>
      <c r="I23" s="181">
        <f>'TRF-6'!I52-'TRF-6'!I37-'TRF-6'!I44-'TRF-6'!I45-'TRF-6'!I50-3.42-0.21</f>
        <v>292.78</v>
      </c>
      <c r="J23" s="181">
        <f>'TRF-6'!J52-'TRF-6'!J37-'TRF-6'!J44-'TRF-6'!J45-'TRF-6'!J50-'TRF-6'!J39+'TRF-13'!K51</f>
        <v>415.3314936</v>
      </c>
      <c r="K23" s="181">
        <f>'TRF-6'!K52-'TRF-6'!K37-'TRF-6'!K44-'TRF-6'!K45-'TRF-6'!K50-'TRF-6'!K39+'TRF-13'!L51</f>
        <v>394.06063400000005</v>
      </c>
      <c r="L23" s="181">
        <f>'TRF-6'!L52-'TRF-6'!L37-'TRF-6'!L44-'TRF-6'!L45-'TRF-6'!L50-'TRF-6'!L39+'TRF-13'!M51</f>
        <v>491.8304909266666</v>
      </c>
    </row>
    <row r="24" spans="1:12" ht="12.75">
      <c r="A24" s="156" t="s">
        <v>445</v>
      </c>
      <c r="B24" s="58" t="e">
        <f>'TRF-13'!D51+'TRF-14'!C28+'TRF-15'!C69</f>
        <v>#REF!</v>
      </c>
      <c r="C24" s="58">
        <f>'TRF-13'!E51+'TRF-14'!D28+'TRF-15'!D69</f>
        <v>1.6400000000000001</v>
      </c>
      <c r="D24" s="58">
        <f>'TRF-13'!F51+'TRF-14'!E28+'TRF-15'!E69</f>
        <v>8.950000000000001</v>
      </c>
      <c r="E24" s="58">
        <f>'TRF-13'!F51</f>
        <v>8.88</v>
      </c>
      <c r="F24" s="58">
        <f>'TRF-13'!G51</f>
        <v>5.09</v>
      </c>
      <c r="G24" s="58">
        <f>'TRF-13'!H51</f>
        <v>7.66</v>
      </c>
      <c r="H24" s="58">
        <f>'TRF-13'!I51</f>
        <v>5.69</v>
      </c>
      <c r="I24" s="58">
        <f>'TRF-13'!J51</f>
        <v>9.54</v>
      </c>
      <c r="J24" s="58">
        <f>'TRF-13'!K51</f>
        <v>15.51</v>
      </c>
      <c r="K24" s="58">
        <f>'TRF-13'!L51</f>
        <v>7.572399999999999</v>
      </c>
      <c r="L24" s="58">
        <f>'TRF-13'!M51</f>
        <v>8.276399999999999</v>
      </c>
    </row>
    <row r="25" spans="1:12" ht="12.75">
      <c r="A25" s="290" t="s">
        <v>1078</v>
      </c>
      <c r="B25" s="43" t="e">
        <f aca="true" t="shared" si="3" ref="B25:L25">B23-B24</f>
        <v>#REF!</v>
      </c>
      <c r="C25" s="43" t="e">
        <f t="shared" si="3"/>
        <v>#REF!</v>
      </c>
      <c r="D25" s="43" t="e">
        <f t="shared" si="3"/>
        <v>#REF!</v>
      </c>
      <c r="E25" s="43" t="e">
        <f>E23-E24+1.74</f>
        <v>#REF!</v>
      </c>
      <c r="F25" s="43" t="e">
        <f>F23-F24+0.07</f>
        <v>#REF!</v>
      </c>
      <c r="G25" s="43">
        <f t="shared" si="3"/>
        <v>527.7437475486726</v>
      </c>
      <c r="H25" s="43">
        <f>H23-H24+0.01</f>
        <v>349.84</v>
      </c>
      <c r="I25" s="43">
        <f t="shared" si="3"/>
        <v>283.23999999999995</v>
      </c>
      <c r="J25" s="43">
        <f t="shared" si="3"/>
        <v>399.8214936</v>
      </c>
      <c r="K25" s="43">
        <f t="shared" si="3"/>
        <v>386.48823400000003</v>
      </c>
      <c r="L25" s="43">
        <f t="shared" si="3"/>
        <v>483.55409092666656</v>
      </c>
    </row>
    <row r="26" spans="1:12" ht="12.75">
      <c r="A26" s="76" t="s">
        <v>664</v>
      </c>
      <c r="B26" s="181">
        <f>'TRF-6'!D44</f>
        <v>95.2707</v>
      </c>
      <c r="C26" s="181">
        <f>'TRF-6'!E44</f>
        <v>98.64</v>
      </c>
      <c r="D26" s="181">
        <f>'TRF-6'!F44</f>
        <v>108.54856999999998</v>
      </c>
      <c r="E26" s="181">
        <f>'TRF-6'!E44</f>
        <v>98.64</v>
      </c>
      <c r="F26" s="181">
        <f>'TRF-6'!F44</f>
        <v>108.54856999999998</v>
      </c>
      <c r="G26" s="181">
        <f>'TRF-6'!G44</f>
        <v>109.8241352</v>
      </c>
      <c r="H26" s="181">
        <v>108.03</v>
      </c>
      <c r="I26" s="181">
        <f>'TRF-6'!I44</f>
        <v>128.4269612</v>
      </c>
      <c r="J26" s="181">
        <f>'TRF-6'!J44</f>
        <v>125.6769612</v>
      </c>
      <c r="K26" s="181">
        <f>'TRF-6'!K44</f>
        <v>151.32934500000002</v>
      </c>
      <c r="L26" s="181">
        <f>'TRF-6'!L44</f>
        <v>172.85091640938234</v>
      </c>
    </row>
    <row r="27" spans="1:12" ht="12.75">
      <c r="A27" s="76" t="s">
        <v>1235</v>
      </c>
      <c r="B27" s="43" t="e">
        <f aca="true" t="shared" si="4" ref="B27:H27">B13-B21</f>
        <v>#REF!</v>
      </c>
      <c r="C27" s="43" t="e">
        <f t="shared" si="4"/>
        <v>#REF!</v>
      </c>
      <c r="D27" s="43" t="e">
        <f t="shared" si="4"/>
        <v>#REF!</v>
      </c>
      <c r="E27" s="43" t="e">
        <f t="shared" si="4"/>
        <v>#REF!</v>
      </c>
      <c r="F27" s="43" t="e">
        <f t="shared" si="4"/>
        <v>#REF!</v>
      </c>
      <c r="G27" s="43">
        <f>G13-G21</f>
        <v>78.19042725132738</v>
      </c>
      <c r="H27" s="43">
        <f t="shared" si="4"/>
        <v>-16.086590000000058</v>
      </c>
      <c r="I27" s="43">
        <f>I13-I21</f>
        <v>21.74944380000011</v>
      </c>
      <c r="J27" s="43">
        <f>J13-J21</f>
        <v>66.48355434999985</v>
      </c>
      <c r="K27" s="43">
        <f>K13-K21</f>
        <v>65.74974835</v>
      </c>
      <c r="L27" s="43">
        <f>L13-L21</f>
        <v>-5.9800073360489705</v>
      </c>
    </row>
    <row r="28" spans="1:12" ht="12.75">
      <c r="A28" s="76" t="s">
        <v>582</v>
      </c>
      <c r="B28" s="58">
        <v>125.88</v>
      </c>
      <c r="C28" s="58" t="e">
        <f>'TRF-6'!#REF!</f>
        <v>#REF!</v>
      </c>
      <c r="D28" s="58" t="e">
        <f>B28-C28</f>
        <v>#REF!</v>
      </c>
      <c r="E28" s="58">
        <v>119.09</v>
      </c>
      <c r="F28" s="58">
        <v>111.23</v>
      </c>
      <c r="G28" s="58">
        <v>101.29</v>
      </c>
      <c r="H28" s="58">
        <v>59.34</v>
      </c>
      <c r="I28" s="58">
        <f>'TRF-3'!K89+0.38</f>
        <v>66.44</v>
      </c>
      <c r="J28" s="58">
        <f>'TRF-3'!K89</f>
        <v>66.06</v>
      </c>
      <c r="K28" s="58">
        <f>'TRF-3'!Q89</f>
        <v>93.71133476281999</v>
      </c>
      <c r="L28" s="58">
        <f>'TRF-3'!W89</f>
        <v>121.11156322388162</v>
      </c>
    </row>
    <row r="29" spans="1:12" ht="12.75">
      <c r="A29" s="76" t="s">
        <v>104</v>
      </c>
      <c r="B29" s="58"/>
      <c r="C29" s="58"/>
      <c r="D29" s="58"/>
      <c r="E29" s="58"/>
      <c r="F29" s="58"/>
      <c r="G29" s="58"/>
      <c r="H29" s="58"/>
      <c r="I29" s="58">
        <v>0</v>
      </c>
      <c r="J29" s="58">
        <f>'TRF-6'!J39</f>
        <v>0</v>
      </c>
      <c r="K29" s="58"/>
      <c r="L29" s="58">
        <f>'TRF-6'!L39</f>
        <v>31.461643911856683</v>
      </c>
    </row>
    <row r="30" spans="1:12" ht="12.75">
      <c r="A30" s="76" t="s">
        <v>1039</v>
      </c>
      <c r="B30" s="58">
        <v>23.35</v>
      </c>
      <c r="C30" s="58">
        <f>'TRF-3'!L91</f>
        <v>0</v>
      </c>
      <c r="D30" s="58">
        <f>B30-C30</f>
        <v>23.35</v>
      </c>
      <c r="E30" s="58">
        <v>2.86</v>
      </c>
      <c r="F30" s="58">
        <v>0.58</v>
      </c>
      <c r="G30" s="58">
        <v>4.04</v>
      </c>
      <c r="H30" s="58">
        <v>5.18</v>
      </c>
      <c r="I30" s="58">
        <f>'TRF-3'!K91</f>
        <v>8.22</v>
      </c>
      <c r="J30" s="58">
        <f>'TRF-3'!K91</f>
        <v>8.22</v>
      </c>
      <c r="K30" s="58">
        <f>'TRF-3'!Q91</f>
        <v>2.1505456874999997</v>
      </c>
      <c r="L30" s="58">
        <f>'TRF-3'!W91</f>
        <v>5.481452374999999</v>
      </c>
    </row>
    <row r="31" spans="1:12" ht="12.75">
      <c r="A31" s="251" t="s">
        <v>1040</v>
      </c>
      <c r="B31" s="43">
        <f aca="true" t="shared" si="5" ref="B31:L31">B28+B29-B30</f>
        <v>102.53</v>
      </c>
      <c r="C31" s="43" t="e">
        <f t="shared" si="5"/>
        <v>#REF!</v>
      </c>
      <c r="D31" s="43" t="e">
        <f t="shared" si="5"/>
        <v>#REF!</v>
      </c>
      <c r="E31" s="43">
        <f t="shared" si="5"/>
        <v>116.23</v>
      </c>
      <c r="F31" s="43">
        <f t="shared" si="5"/>
        <v>110.65</v>
      </c>
      <c r="G31" s="43">
        <f>G28+G29-G30-0.01</f>
        <v>97.24</v>
      </c>
      <c r="H31" s="43">
        <f t="shared" si="5"/>
        <v>54.160000000000004</v>
      </c>
      <c r="I31" s="43">
        <f t="shared" si="5"/>
        <v>58.22</v>
      </c>
      <c r="J31" s="43">
        <f t="shared" si="5"/>
        <v>57.84</v>
      </c>
      <c r="K31" s="43">
        <f t="shared" si="5"/>
        <v>91.56078907531999</v>
      </c>
      <c r="L31" s="43">
        <f t="shared" si="5"/>
        <v>147.0917547607383</v>
      </c>
    </row>
    <row r="32" spans="1:14" ht="12.75">
      <c r="A32" s="76" t="s">
        <v>737</v>
      </c>
      <c r="B32" s="43"/>
      <c r="C32" s="43"/>
      <c r="D32" s="43"/>
      <c r="E32" s="43"/>
      <c r="F32" s="43"/>
      <c r="G32" s="43"/>
      <c r="H32" s="43"/>
      <c r="I32" s="43"/>
      <c r="J32" s="43">
        <v>-18.99</v>
      </c>
      <c r="K32" s="43">
        <v>0</v>
      </c>
      <c r="L32" s="43">
        <v>0</v>
      </c>
      <c r="M32" s="157">
        <f>K25+K26+K31</f>
        <v>629.37836807532</v>
      </c>
      <c r="N32" s="157">
        <f>L25+L26+L31+L28</f>
        <v>924.6083253206689</v>
      </c>
    </row>
    <row r="33" spans="1:14" ht="12.75">
      <c r="A33" s="76" t="s">
        <v>583</v>
      </c>
      <c r="B33" s="43" t="e">
        <f aca="true" t="shared" si="6" ref="B33:I33">B27-B31</f>
        <v>#REF!</v>
      </c>
      <c r="C33" s="43" t="e">
        <f t="shared" si="6"/>
        <v>#REF!</v>
      </c>
      <c r="D33" s="43" t="e">
        <f t="shared" si="6"/>
        <v>#REF!</v>
      </c>
      <c r="E33" s="43" t="e">
        <f t="shared" si="6"/>
        <v>#REF!</v>
      </c>
      <c r="F33" s="43" t="e">
        <f t="shared" si="6"/>
        <v>#REF!</v>
      </c>
      <c r="G33" s="43">
        <f t="shared" si="6"/>
        <v>-19.049572748672617</v>
      </c>
      <c r="H33" s="43">
        <f t="shared" si="6"/>
        <v>-70.24659000000005</v>
      </c>
      <c r="I33" s="43">
        <f t="shared" si="6"/>
        <v>-36.47055619999989</v>
      </c>
      <c r="J33" s="43">
        <f>J27-J31-J32</f>
        <v>27.633554349999844</v>
      </c>
      <c r="K33" s="43">
        <f>K27-K31-K32</f>
        <v>-25.811040725319984</v>
      </c>
      <c r="L33" s="43">
        <f>L27-L31-L32</f>
        <v>-153.07176209678727</v>
      </c>
      <c r="N33" s="157"/>
    </row>
    <row r="34" spans="1:12" ht="12.75">
      <c r="A34" s="76" t="s">
        <v>897</v>
      </c>
      <c r="B34" s="260">
        <f>'TRF-6'!D50</f>
        <v>0.2286085</v>
      </c>
      <c r="C34" s="260" t="e">
        <f>'TRF-6'!#REF!</f>
        <v>#REF!</v>
      </c>
      <c r="D34" s="58" t="e">
        <f>B34-C34</f>
        <v>#REF!</v>
      </c>
      <c r="E34" s="260">
        <v>0.23</v>
      </c>
      <c r="F34" s="260">
        <v>0.21</v>
      </c>
      <c r="G34" s="260">
        <f>'TRF-6'!G50</f>
        <v>0.24</v>
      </c>
      <c r="H34" s="260">
        <f>'TRF-6'!H50</f>
        <v>0</v>
      </c>
      <c r="I34" s="260">
        <f>'TRF-6'!I50</f>
        <v>0</v>
      </c>
      <c r="J34" s="260">
        <f>'TRF-6'!J50</f>
        <v>0</v>
      </c>
      <c r="K34" s="260">
        <f>'TRF-6'!K50</f>
        <v>0</v>
      </c>
      <c r="L34" s="260">
        <f>'TRF-6'!L50</f>
        <v>0</v>
      </c>
    </row>
    <row r="35" spans="1:12" ht="12.75">
      <c r="A35" s="76" t="s">
        <v>447</v>
      </c>
      <c r="B35" s="181">
        <f>'TRF-6'!D58</f>
        <v>9.6</v>
      </c>
      <c r="C35" s="181" t="e">
        <f>'TRF-6'!#REF!</f>
        <v>#REF!</v>
      </c>
      <c r="D35" s="58" t="e">
        <f>B35-C35</f>
        <v>#REF!</v>
      </c>
      <c r="E35" s="181">
        <v>8.24</v>
      </c>
      <c r="F35" s="181">
        <v>11.36</v>
      </c>
      <c r="G35" s="181">
        <f>'TRF-6'!G58</f>
        <v>9.99</v>
      </c>
      <c r="H35" s="181">
        <v>10.94</v>
      </c>
      <c r="I35" s="181">
        <v>11.18</v>
      </c>
      <c r="J35" s="181">
        <f>'TRF-6'!J58</f>
        <v>14.619999999999997</v>
      </c>
      <c r="K35" s="181">
        <f>'TRF-6'!K58</f>
        <v>14.645600000000002</v>
      </c>
      <c r="L35" s="181">
        <f>'TRF-6'!L58</f>
        <v>16.728450000000002</v>
      </c>
    </row>
    <row r="36" spans="1:12" ht="12.75">
      <c r="A36" s="76" t="s">
        <v>584</v>
      </c>
      <c r="B36" s="43" t="e">
        <f aca="true" t="shared" si="7" ref="B36:L36">B33-B34-B35</f>
        <v>#REF!</v>
      </c>
      <c r="C36" s="43" t="e">
        <f t="shared" si="7"/>
        <v>#REF!</v>
      </c>
      <c r="D36" s="43" t="e">
        <f t="shared" si="7"/>
        <v>#REF!</v>
      </c>
      <c r="E36" s="43" t="e">
        <f>E33-E34-E35</f>
        <v>#REF!</v>
      </c>
      <c r="F36" s="43" t="e">
        <f t="shared" si="7"/>
        <v>#REF!</v>
      </c>
      <c r="G36" s="43">
        <f t="shared" si="7"/>
        <v>-29.279572748672614</v>
      </c>
      <c r="H36" s="43">
        <f t="shared" si="7"/>
        <v>-81.18659000000005</v>
      </c>
      <c r="I36" s="43">
        <f t="shared" si="7"/>
        <v>-47.65055619999989</v>
      </c>
      <c r="J36" s="43">
        <f t="shared" si="7"/>
        <v>13.013554349999847</v>
      </c>
      <c r="K36" s="43">
        <f t="shared" si="7"/>
        <v>-40.456640725319986</v>
      </c>
      <c r="L36" s="43">
        <f t="shared" si="7"/>
        <v>-169.80021209678728</v>
      </c>
    </row>
    <row r="37" spans="1:12" ht="12.75">
      <c r="A37" s="76" t="s">
        <v>1169</v>
      </c>
      <c r="B37" s="260">
        <v>0</v>
      </c>
      <c r="C37" s="260">
        <v>0</v>
      </c>
      <c r="D37" s="260">
        <v>0</v>
      </c>
      <c r="E37" s="260">
        <v>-15.59</v>
      </c>
      <c r="F37" s="260">
        <v>27.58</v>
      </c>
      <c r="G37" s="260">
        <v>-0.75</v>
      </c>
      <c r="H37" s="260">
        <v>-1.11</v>
      </c>
      <c r="I37" s="260">
        <v>-6.51</v>
      </c>
      <c r="J37" s="260">
        <v>0</v>
      </c>
      <c r="K37" s="260">
        <v>0</v>
      </c>
      <c r="L37" s="260">
        <v>0</v>
      </c>
    </row>
    <row r="38" spans="1:12" ht="12.75">
      <c r="A38" s="76" t="s">
        <v>444</v>
      </c>
      <c r="B38" s="43" t="e">
        <f aca="true" t="shared" si="8" ref="B38:L38">B36+B37</f>
        <v>#REF!</v>
      </c>
      <c r="C38" s="43" t="e">
        <f t="shared" si="8"/>
        <v>#REF!</v>
      </c>
      <c r="D38" s="43" t="e">
        <f t="shared" si="8"/>
        <v>#REF!</v>
      </c>
      <c r="E38" s="43" t="e">
        <f t="shared" si="8"/>
        <v>#REF!</v>
      </c>
      <c r="F38" s="43" t="e">
        <f>F36+F37</f>
        <v>#REF!</v>
      </c>
      <c r="G38" s="43">
        <f>G36-G37</f>
        <v>-28.529572748672614</v>
      </c>
      <c r="H38" s="43">
        <f>H36+H37</f>
        <v>-82.29659000000005</v>
      </c>
      <c r="I38" s="43">
        <f t="shared" si="8"/>
        <v>-54.16055619999989</v>
      </c>
      <c r="J38" s="43">
        <f t="shared" si="8"/>
        <v>13.013554349999847</v>
      </c>
      <c r="K38" s="43">
        <f t="shared" si="8"/>
        <v>-40.456640725319986</v>
      </c>
      <c r="L38" s="43">
        <f t="shared" si="8"/>
        <v>-169.80021209678728</v>
      </c>
    </row>
    <row r="39" spans="1:12" ht="25.5">
      <c r="A39" s="76" t="s">
        <v>585</v>
      </c>
      <c r="B39" s="43">
        <v>0</v>
      </c>
      <c r="C39" s="43"/>
      <c r="D39" s="43"/>
      <c r="E39" s="43">
        <f>-24.95</f>
        <v>-24.95</v>
      </c>
      <c r="F39" s="43" t="e">
        <f>E46</f>
        <v>#REF!</v>
      </c>
      <c r="G39" s="43">
        <f>-49.23</f>
        <v>-49.23</v>
      </c>
      <c r="H39" s="43">
        <f>G46-0.01</f>
        <v>-77.76957274867262</v>
      </c>
      <c r="I39" s="43">
        <f>H46</f>
        <v>-160.06616274867267</v>
      </c>
      <c r="J39" s="43">
        <v>-184.69</v>
      </c>
      <c r="K39" s="43">
        <f>J46</f>
        <v>-181.97644565000016</v>
      </c>
      <c r="L39" s="43">
        <f>K46</f>
        <v>-222.43308637532016</v>
      </c>
    </row>
    <row r="40" spans="1:12" ht="12.75">
      <c r="A40" s="76" t="s">
        <v>586</v>
      </c>
      <c r="B40" s="260">
        <v>0</v>
      </c>
      <c r="C40" s="260"/>
      <c r="D40" s="260"/>
      <c r="E40" s="260">
        <v>0</v>
      </c>
      <c r="F40" s="260">
        <v>0</v>
      </c>
      <c r="G40" s="260">
        <v>0</v>
      </c>
      <c r="H40" s="260">
        <v>0</v>
      </c>
      <c r="I40" s="260">
        <v>0</v>
      </c>
      <c r="J40" s="260">
        <v>0</v>
      </c>
      <c r="K40" s="260">
        <v>0</v>
      </c>
      <c r="L40" s="260">
        <v>0</v>
      </c>
    </row>
    <row r="41" spans="1:12" ht="25.5">
      <c r="A41" s="76" t="s">
        <v>587</v>
      </c>
      <c r="B41" s="260">
        <v>0</v>
      </c>
      <c r="C41" s="260"/>
      <c r="D41" s="260"/>
      <c r="E41" s="260">
        <v>0</v>
      </c>
      <c r="F41" s="260">
        <v>0</v>
      </c>
      <c r="G41" s="260">
        <v>0</v>
      </c>
      <c r="H41" s="260">
        <v>0</v>
      </c>
      <c r="I41" s="260">
        <v>0</v>
      </c>
      <c r="J41" s="260">
        <v>0</v>
      </c>
      <c r="K41" s="260">
        <v>0</v>
      </c>
      <c r="L41" s="260">
        <v>0</v>
      </c>
    </row>
    <row r="42" spans="1:12" ht="12.75">
      <c r="A42" s="76" t="s">
        <v>588</v>
      </c>
      <c r="B42" s="260">
        <v>0</v>
      </c>
      <c r="C42" s="260"/>
      <c r="D42" s="260"/>
      <c r="E42" s="260">
        <v>0</v>
      </c>
      <c r="F42" s="260">
        <v>0</v>
      </c>
      <c r="G42" s="260">
        <v>0</v>
      </c>
      <c r="H42" s="260">
        <v>0</v>
      </c>
      <c r="I42" s="260">
        <v>0</v>
      </c>
      <c r="J42" s="260">
        <v>0</v>
      </c>
      <c r="K42" s="260">
        <v>0</v>
      </c>
      <c r="L42" s="260">
        <v>0</v>
      </c>
    </row>
    <row r="43" spans="1:12" ht="12.75">
      <c r="A43" s="76" t="s">
        <v>589</v>
      </c>
      <c r="B43" s="260">
        <v>0</v>
      </c>
      <c r="C43" s="260"/>
      <c r="D43" s="260"/>
      <c r="E43" s="260">
        <v>0</v>
      </c>
      <c r="F43" s="260">
        <v>0</v>
      </c>
      <c r="G43" s="260">
        <v>0</v>
      </c>
      <c r="H43" s="260">
        <v>0</v>
      </c>
      <c r="I43" s="260">
        <v>0</v>
      </c>
      <c r="J43" s="260">
        <v>0</v>
      </c>
      <c r="K43" s="260">
        <v>0</v>
      </c>
      <c r="L43" s="260">
        <v>0</v>
      </c>
    </row>
    <row r="44" spans="1:12" ht="12.75">
      <c r="A44" s="76" t="s">
        <v>590</v>
      </c>
      <c r="B44" s="260">
        <v>0</v>
      </c>
      <c r="C44" s="260"/>
      <c r="D44" s="260"/>
      <c r="E44" s="260">
        <v>0</v>
      </c>
      <c r="F44" s="260">
        <v>0</v>
      </c>
      <c r="G44" s="260">
        <v>0</v>
      </c>
      <c r="H44" s="260">
        <v>0</v>
      </c>
      <c r="I44" s="260">
        <v>0</v>
      </c>
      <c r="J44" s="260">
        <v>0</v>
      </c>
      <c r="K44" s="260">
        <v>0</v>
      </c>
      <c r="L44" s="260">
        <v>0</v>
      </c>
    </row>
    <row r="45" spans="1:12" ht="12.75">
      <c r="A45" s="76" t="s">
        <v>844</v>
      </c>
      <c r="B45" s="260"/>
      <c r="C45" s="260"/>
      <c r="D45" s="260"/>
      <c r="E45" s="260"/>
      <c r="F45" s="260"/>
      <c r="G45" s="260"/>
      <c r="H45" s="260"/>
      <c r="I45" s="260"/>
      <c r="J45" s="260">
        <v>10.3</v>
      </c>
      <c r="K45" s="260"/>
      <c r="L45" s="260"/>
    </row>
    <row r="46" spans="1:12" ht="12.75">
      <c r="A46" s="76" t="s">
        <v>591</v>
      </c>
      <c r="B46" s="43" t="e">
        <f aca="true" t="shared" si="9" ref="B46:H46">B38+B39</f>
        <v>#REF!</v>
      </c>
      <c r="C46" s="43" t="e">
        <f t="shared" si="9"/>
        <v>#REF!</v>
      </c>
      <c r="D46" s="43" t="e">
        <f t="shared" si="9"/>
        <v>#REF!</v>
      </c>
      <c r="E46" s="43" t="e">
        <f t="shared" si="9"/>
        <v>#REF!</v>
      </c>
      <c r="F46" s="43" t="e">
        <f>F38+F39-0.01</f>
        <v>#REF!</v>
      </c>
      <c r="G46" s="43">
        <f>G38+G39</f>
        <v>-77.75957274867261</v>
      </c>
      <c r="H46" s="43">
        <f t="shared" si="9"/>
        <v>-160.06616274867267</v>
      </c>
      <c r="I46" s="43">
        <f>I38+I39</f>
        <v>-214.22671894867256</v>
      </c>
      <c r="J46" s="43">
        <f>J38+J39-J45</f>
        <v>-181.97644565000016</v>
      </c>
      <c r="K46" s="43">
        <f>K38+K39</f>
        <v>-222.43308637532016</v>
      </c>
      <c r="L46" s="43">
        <f>L38+L39</f>
        <v>-392.23329847210744</v>
      </c>
    </row>
    <row r="48" spans="1:10" ht="41.25" customHeight="1">
      <c r="A48" s="586" t="s">
        <v>1385</v>
      </c>
      <c r="B48" s="586"/>
      <c r="C48" s="586"/>
      <c r="D48" s="586"/>
      <c r="E48" s="586"/>
      <c r="F48" s="586"/>
      <c r="G48" s="586"/>
      <c r="H48" s="586"/>
      <c r="I48" s="586"/>
      <c r="J48" s="586"/>
    </row>
    <row r="49" spans="2:12" ht="12.75">
      <c r="B49" s="88"/>
      <c r="C49" s="88"/>
      <c r="D49" s="88"/>
      <c r="E49" s="88"/>
      <c r="F49" s="88"/>
      <c r="G49" s="88"/>
      <c r="H49" s="88"/>
      <c r="I49" s="88"/>
      <c r="K49" s="157"/>
      <c r="L49" s="537">
        <f>L46+L35+K35</f>
        <v>-360.8592484721074</v>
      </c>
    </row>
    <row r="50" spans="2:9" ht="12.75">
      <c r="B50" s="88"/>
      <c r="C50" s="88"/>
      <c r="D50" s="88"/>
      <c r="E50" s="88"/>
      <c r="F50" s="88">
        <f>80.34-79.38</f>
        <v>0.960000000000008</v>
      </c>
      <c r="G50" s="88"/>
      <c r="H50" s="88"/>
      <c r="I50" s="88"/>
    </row>
    <row r="51" spans="2:9" ht="12.75">
      <c r="B51" s="88"/>
      <c r="C51" s="88"/>
      <c r="D51" s="88"/>
      <c r="E51" s="88"/>
      <c r="F51" s="88">
        <f>65.82+46.39</f>
        <v>112.21</v>
      </c>
      <c r="G51" s="88"/>
      <c r="H51" s="88"/>
      <c r="I51" s="88"/>
    </row>
    <row r="52" ht="12.75">
      <c r="F52" s="114">
        <f>117.8-51.98</f>
        <v>65.82</v>
      </c>
    </row>
  </sheetData>
  <sheetProtection/>
  <mergeCells count="1">
    <mergeCell ref="A48:J48"/>
  </mergeCells>
  <printOptions/>
  <pageMargins left="0.67" right="0.34" top="0.55" bottom="0.37" header="0.17" footer="0.14"/>
  <pageSetup fitToHeight="1" fitToWidth="1" horizontalDpi="300" verticalDpi="300" orientation="portrait" paperSize="9" r:id="rId1"/>
  <headerFooter alignWithMargins="0">
    <oddFooter>&amp;L&amp;F-&amp;A&amp;CPage-&amp;P of &amp;P&amp;R&amp;D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3"/>
  <sheetViews>
    <sheetView zoomScalePageLayoutView="0" workbookViewId="0" topLeftCell="A1">
      <selection activeCell="A3" sqref="A3"/>
    </sheetView>
  </sheetViews>
  <sheetFormatPr defaultColWidth="14.7109375" defaultRowHeight="12.75"/>
  <cols>
    <col min="1" max="1" width="2.57421875" style="62" customWidth="1"/>
    <col min="2" max="3" width="3.00390625" style="62" customWidth="1"/>
    <col min="4" max="4" width="33.28125" style="62" customWidth="1"/>
    <col min="5" max="5" width="11.7109375" style="62" hidden="1" customWidth="1"/>
    <col min="6" max="6" width="12.7109375" style="62" hidden="1" customWidth="1"/>
    <col min="7" max="7" width="13.7109375" style="62" hidden="1" customWidth="1"/>
    <col min="8" max="8" width="13.421875" style="62" hidden="1" customWidth="1"/>
    <col min="9" max="9" width="13.57421875" style="62" hidden="1" customWidth="1"/>
    <col min="10" max="10" width="12.8515625" style="62" hidden="1" customWidth="1"/>
    <col min="11" max="13" width="12.7109375" style="62" customWidth="1"/>
    <col min="14" max="16384" width="14.7109375" style="62" customWidth="1"/>
  </cols>
  <sheetData>
    <row r="2" spans="1:13" ht="12.75">
      <c r="A2" s="13" t="str">
        <f>'TRF-26'!A3</f>
        <v>Licencee : ….ODISHA POWER TRANSMISSION CORPORATION LIMITED.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ht="12.75">
      <c r="A3" s="11"/>
      <c r="B3" s="341" t="s">
        <v>841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12.75">
      <c r="A4" s="11"/>
      <c r="B4" s="341"/>
      <c r="C4" s="11"/>
      <c r="D4" s="11"/>
      <c r="E4" s="11"/>
      <c r="F4" s="11"/>
      <c r="G4" s="11"/>
      <c r="H4" s="11"/>
      <c r="I4" s="11"/>
      <c r="K4" s="228" t="s">
        <v>405</v>
      </c>
      <c r="L4" s="11"/>
      <c r="M4" s="11"/>
    </row>
    <row r="5" spans="1:13" ht="12.75">
      <c r="A5" s="11"/>
      <c r="B5" s="89" t="s">
        <v>1350</v>
      </c>
      <c r="C5" s="11"/>
      <c r="D5" s="11"/>
      <c r="E5" s="11"/>
      <c r="F5" s="11"/>
      <c r="G5" s="11"/>
      <c r="H5" s="189" t="s">
        <v>405</v>
      </c>
      <c r="I5" s="11"/>
      <c r="J5" s="11"/>
      <c r="K5" s="11"/>
      <c r="L5" s="11"/>
      <c r="M5" s="11"/>
    </row>
    <row r="6" spans="1:13" ht="12.75">
      <c r="A6" s="11"/>
      <c r="B6" s="89" t="s">
        <v>1351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12.75">
      <c r="A7" s="11"/>
      <c r="B7" s="89" t="s">
        <v>1352</v>
      </c>
      <c r="C7" s="11"/>
      <c r="D7" s="11"/>
      <c r="E7" s="11"/>
      <c r="F7" s="11"/>
      <c r="G7" s="11"/>
      <c r="H7" s="11"/>
      <c r="I7" s="11"/>
      <c r="K7" s="11" t="s">
        <v>857</v>
      </c>
      <c r="L7" s="11"/>
      <c r="M7" s="11"/>
    </row>
    <row r="8" spans="1:13" ht="12.7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28.5" customHeight="1">
      <c r="A9" s="11"/>
      <c r="B9" s="11"/>
      <c r="C9" s="11"/>
      <c r="D9" s="11"/>
      <c r="E9" s="150" t="s">
        <v>1181</v>
      </c>
      <c r="F9" s="150" t="s">
        <v>932</v>
      </c>
      <c r="G9" s="150" t="s">
        <v>993</v>
      </c>
      <c r="H9" s="150" t="s">
        <v>987</v>
      </c>
      <c r="I9" s="150" t="s">
        <v>988</v>
      </c>
      <c r="J9" s="150" t="s">
        <v>994</v>
      </c>
      <c r="K9" s="150" t="s">
        <v>845</v>
      </c>
      <c r="L9" s="150" t="s">
        <v>1323</v>
      </c>
      <c r="M9" s="150" t="s">
        <v>1357</v>
      </c>
    </row>
    <row r="10" spans="1:13" ht="12.75">
      <c r="A10" s="10" t="s">
        <v>1285</v>
      </c>
      <c r="B10" s="11"/>
      <c r="C10" s="11"/>
      <c r="D10" s="182" t="s">
        <v>856</v>
      </c>
      <c r="E10" s="58"/>
      <c r="F10" s="58"/>
      <c r="G10" s="58"/>
      <c r="H10" s="11"/>
      <c r="I10" s="11"/>
      <c r="J10" s="11"/>
      <c r="K10" s="11"/>
      <c r="L10" s="11"/>
      <c r="M10" s="11"/>
    </row>
    <row r="11" spans="1:13" ht="12.75">
      <c r="A11" s="11"/>
      <c r="B11" s="10">
        <v>1</v>
      </c>
      <c r="C11" s="11"/>
      <c r="D11" s="152" t="s">
        <v>842</v>
      </c>
      <c r="E11" s="58"/>
      <c r="F11" s="58"/>
      <c r="G11" s="58"/>
      <c r="H11" s="11"/>
      <c r="I11" s="11"/>
      <c r="J11" s="11"/>
      <c r="K11" s="11"/>
      <c r="L11" s="11"/>
      <c r="M11" s="11"/>
    </row>
    <row r="12" spans="1:13" ht="12.75">
      <c r="A12" s="11"/>
      <c r="B12" s="131"/>
      <c r="C12" s="131" t="s">
        <v>838</v>
      </c>
      <c r="D12" s="11" t="s">
        <v>413</v>
      </c>
      <c r="E12" s="58">
        <f>'TRF-25'!D39</f>
        <v>163.551319725</v>
      </c>
      <c r="F12" s="58">
        <f>'TRF-25'!E39</f>
        <v>79.81</v>
      </c>
      <c r="G12" s="58">
        <f>'TRF-25'!F39</f>
        <v>105.25</v>
      </c>
      <c r="H12" s="58">
        <f>'TRF-25'!G39</f>
        <v>105.5</v>
      </c>
      <c r="I12" s="58">
        <f>'TRF-25'!H39</f>
        <v>105.56</v>
      </c>
      <c r="J12" s="58">
        <f>'TRF-25'!I39</f>
        <v>154.81161212139983</v>
      </c>
      <c r="K12" s="58">
        <f>'TRF-25'!J39</f>
        <v>185.81200914999982</v>
      </c>
      <c r="L12" s="58">
        <f>'TRF-25'!K39</f>
        <v>188.56411899999992</v>
      </c>
      <c r="M12" s="58">
        <f>'TRF-25'!L39</f>
        <v>192.46892505416656</v>
      </c>
    </row>
    <row r="13" spans="1:13" ht="12.75">
      <c r="A13" s="11"/>
      <c r="B13" s="131"/>
      <c r="C13" s="131" t="s">
        <v>839</v>
      </c>
      <c r="D13" s="11" t="s">
        <v>848</v>
      </c>
      <c r="E13" s="58">
        <f>'TRF-25'!D40</f>
        <v>70.12</v>
      </c>
      <c r="F13" s="58">
        <f>'TRF-25'!E40</f>
        <v>75.11</v>
      </c>
      <c r="G13" s="58">
        <f>'TRF-25'!F40</f>
        <v>76.69</v>
      </c>
      <c r="H13" s="58">
        <f>'TRF-25'!G40</f>
        <v>80.85</v>
      </c>
      <c r="I13" s="58">
        <f>'TRF-25'!H40</f>
        <v>96.91</v>
      </c>
      <c r="J13" s="58">
        <f>'TRF-25'!I40</f>
        <v>114.42</v>
      </c>
      <c r="K13" s="58">
        <f>'TRF-25'!J40</f>
        <v>130.41</v>
      </c>
      <c r="L13" s="58">
        <f>'TRF-25'!K40</f>
        <v>148.41</v>
      </c>
      <c r="M13" s="58">
        <f>'TRF-25'!L40</f>
        <v>143.41</v>
      </c>
    </row>
    <row r="14" spans="1:13" ht="12.75">
      <c r="A14" s="11"/>
      <c r="B14" s="131"/>
      <c r="C14" s="131" t="s">
        <v>840</v>
      </c>
      <c r="D14" s="11" t="s">
        <v>438</v>
      </c>
      <c r="E14" s="58">
        <f>'TRF-25'!D41</f>
        <v>18.7</v>
      </c>
      <c r="F14" s="58">
        <f>'TRF-25'!E41</f>
        <v>64.83</v>
      </c>
      <c r="G14" s="58">
        <f>'TRF-25'!F41</f>
        <v>49.08</v>
      </c>
      <c r="H14" s="58">
        <f>'TRF-25'!G41</f>
        <v>90.7</v>
      </c>
      <c r="I14" s="58">
        <f>'TRF-25'!H41</f>
        <v>72.71</v>
      </c>
      <c r="J14" s="58">
        <f>'TRF-25'!I41</f>
        <v>57.94</v>
      </c>
      <c r="K14" s="58">
        <f>'TRF-25'!J41</f>
        <v>38.58</v>
      </c>
      <c r="L14" s="58">
        <f>'TRF-25'!K41</f>
        <v>35.31</v>
      </c>
      <c r="M14" s="58">
        <f>'TRF-25'!L41</f>
        <v>13.81</v>
      </c>
    </row>
    <row r="15" spans="1:13" ht="12.75">
      <c r="A15" s="11"/>
      <c r="B15" s="131"/>
      <c r="C15" s="131" t="s">
        <v>849</v>
      </c>
      <c r="D15" s="11" t="s">
        <v>400</v>
      </c>
      <c r="E15" s="58">
        <f>'TRF-25'!D42</f>
        <v>14.02</v>
      </c>
      <c r="F15" s="58">
        <f>'TRF-25'!E42</f>
        <v>38.94</v>
      </c>
      <c r="G15" s="58">
        <f>'TRF-25'!F42</f>
        <v>14.33</v>
      </c>
      <c r="H15" s="58">
        <f>'TRF-25'!G42</f>
        <v>21.090000000000032</v>
      </c>
      <c r="I15" s="58">
        <f>'TRF-25'!H42</f>
        <v>158.26</v>
      </c>
      <c r="J15" s="58">
        <f>'TRF-25'!I42</f>
        <v>40.41</v>
      </c>
      <c r="K15" s="58">
        <f>'TRF-25'!J42</f>
        <v>60.73</v>
      </c>
      <c r="L15" s="58">
        <f>'TRF-25'!K42</f>
        <v>75.73</v>
      </c>
      <c r="M15" s="58">
        <f>'TRF-25'!L42</f>
        <v>80.73</v>
      </c>
    </row>
    <row r="16" spans="1:13" ht="12.75">
      <c r="A16" s="11"/>
      <c r="B16" s="131"/>
      <c r="C16" s="131" t="s">
        <v>439</v>
      </c>
      <c r="D16" s="11" t="s">
        <v>406</v>
      </c>
      <c r="E16" s="58">
        <f>'TRF-25'!D43</f>
        <v>72.97</v>
      </c>
      <c r="F16" s="58">
        <f>'TRF-25'!E43</f>
        <v>62.81</v>
      </c>
      <c r="G16" s="58">
        <f>'TRF-25'!F43</f>
        <v>65.26</v>
      </c>
      <c r="H16" s="58">
        <f>'TRF-25'!G43</f>
        <v>66.69</v>
      </c>
      <c r="I16" s="58">
        <f>'TRF-25'!H43</f>
        <v>74.49</v>
      </c>
      <c r="J16" s="58">
        <f>'TRF-25'!I43</f>
        <v>75.13</v>
      </c>
      <c r="K16" s="58">
        <f>'TRF-25'!J43</f>
        <v>65.43999999999998</v>
      </c>
      <c r="L16" s="58">
        <f>'TRF-25'!K43</f>
        <v>65.43999999999998</v>
      </c>
      <c r="M16" s="58">
        <f>'TRF-25'!L43</f>
        <v>65.43999999999998</v>
      </c>
    </row>
    <row r="17" spans="1:13" ht="12.75">
      <c r="A17" s="11"/>
      <c r="B17" s="131"/>
      <c r="C17" s="131" t="s">
        <v>1059</v>
      </c>
      <c r="D17" s="175" t="s">
        <v>379</v>
      </c>
      <c r="E17" s="174"/>
      <c r="F17" s="256"/>
      <c r="G17" s="256"/>
      <c r="H17" s="256">
        <v>265.78</v>
      </c>
      <c r="I17" s="256"/>
      <c r="J17" s="58"/>
      <c r="K17" s="58"/>
      <c r="L17" s="58"/>
      <c r="M17" s="58"/>
    </row>
    <row r="18" spans="1:13" ht="12.75">
      <c r="A18" s="11"/>
      <c r="B18" s="131"/>
      <c r="C18" s="131"/>
      <c r="D18" s="11" t="s">
        <v>1105</v>
      </c>
      <c r="E18" s="43">
        <f aca="true" t="shared" si="0" ref="E18:J18">SUM(E12:E16)</f>
        <v>339.36131972500004</v>
      </c>
      <c r="F18" s="43">
        <f t="shared" si="0"/>
        <v>321.5</v>
      </c>
      <c r="G18" s="43">
        <f t="shared" si="0"/>
        <v>310.61</v>
      </c>
      <c r="H18" s="43">
        <f>SUM(H12:H17)</f>
        <v>630.61</v>
      </c>
      <c r="I18" s="43">
        <f t="shared" si="0"/>
        <v>507.93</v>
      </c>
      <c r="J18" s="43">
        <f t="shared" si="0"/>
        <v>442.71161212139987</v>
      </c>
      <c r="K18" s="43">
        <f>SUM(K12:K16)</f>
        <v>480.97200914999985</v>
      </c>
      <c r="L18" s="43">
        <f>SUM(L12:L16)</f>
        <v>513.4541189999999</v>
      </c>
      <c r="M18" s="43">
        <f>SUM(M12:M16)</f>
        <v>495.85892505416655</v>
      </c>
    </row>
    <row r="19" spans="1:13" ht="12.75">
      <c r="A19" s="11"/>
      <c r="B19" s="10">
        <v>2</v>
      </c>
      <c r="C19" s="131"/>
      <c r="D19" s="152" t="s">
        <v>850</v>
      </c>
      <c r="E19" s="58"/>
      <c r="F19" s="58"/>
      <c r="G19" s="58"/>
      <c r="H19" s="11"/>
      <c r="I19" s="11"/>
      <c r="J19" s="11"/>
      <c r="K19" s="11"/>
      <c r="L19" s="11"/>
      <c r="M19" s="11"/>
    </row>
    <row r="20" spans="1:13" ht="12.75">
      <c r="A20" s="11"/>
      <c r="B20" s="131"/>
      <c r="C20" s="131" t="s">
        <v>838</v>
      </c>
      <c r="D20" s="11" t="s">
        <v>412</v>
      </c>
      <c r="E20" s="58">
        <f>'TRF-25'!D48</f>
        <v>0</v>
      </c>
      <c r="F20" s="58">
        <f>'TRF-25'!E48</f>
        <v>0</v>
      </c>
      <c r="G20" s="58">
        <f>'TRF-25'!F48</f>
        <v>0</v>
      </c>
      <c r="H20" s="58">
        <f>'TRF-25'!G48</f>
        <v>0</v>
      </c>
      <c r="I20" s="58">
        <f>'TRF-25'!H48</f>
        <v>0</v>
      </c>
      <c r="J20" s="58">
        <f>'TRF-25'!I48</f>
        <v>0</v>
      </c>
      <c r="K20" s="58">
        <f>'TRF-25'!J48</f>
        <v>0</v>
      </c>
      <c r="L20" s="58">
        <f>'TRF-25'!K48</f>
        <v>0</v>
      </c>
      <c r="M20" s="58">
        <f>'TRF-25'!L48</f>
        <v>0</v>
      </c>
    </row>
    <row r="21" spans="1:13" ht="12.75">
      <c r="A21" s="11"/>
      <c r="B21" s="131"/>
      <c r="C21" s="131" t="s">
        <v>839</v>
      </c>
      <c r="D21" s="11" t="s">
        <v>401</v>
      </c>
      <c r="E21" s="58">
        <f>'TRF-25'!D49</f>
        <v>163.76</v>
      </c>
      <c r="F21" s="58">
        <f>'TRF-25'!E49</f>
        <v>167.71</v>
      </c>
      <c r="G21" s="58">
        <f>'TRF-25'!F49</f>
        <v>205.51</v>
      </c>
      <c r="H21" s="58">
        <f>'TRF-25'!G49</f>
        <v>247.64</v>
      </c>
      <c r="I21" s="58">
        <f>'TRF-25'!H49</f>
        <v>251.8</v>
      </c>
      <c r="J21" s="58">
        <f>'TRF-25'!I49</f>
        <v>266.56</v>
      </c>
      <c r="K21" s="58">
        <f>'TRF-25'!J49</f>
        <v>395.83</v>
      </c>
      <c r="L21" s="58">
        <f>'TRF-25'!K49</f>
        <v>406.62344140000005</v>
      </c>
      <c r="M21" s="58">
        <f>'TRF-25'!L49</f>
        <v>431.89344140000003</v>
      </c>
    </row>
    <row r="22" spans="1:13" ht="12.75">
      <c r="A22" s="11"/>
      <c r="B22" s="131"/>
      <c r="C22" s="131" t="s">
        <v>840</v>
      </c>
      <c r="D22" s="11" t="s">
        <v>951</v>
      </c>
      <c r="E22" s="58">
        <f>'TRF-25'!D50</f>
        <v>83.77</v>
      </c>
      <c r="F22" s="58">
        <f>'TRF-25'!E50</f>
        <v>83.09</v>
      </c>
      <c r="G22" s="58">
        <f>'TRF-25'!F50</f>
        <v>130.45</v>
      </c>
      <c r="H22" s="58">
        <f>'TRF-25'!G50</f>
        <v>482.75</v>
      </c>
      <c r="I22" s="58">
        <f>'TRF-25'!H50</f>
        <v>569.56</v>
      </c>
      <c r="J22" s="58">
        <f>'TRF-25'!I50</f>
        <v>586.75</v>
      </c>
      <c r="K22" s="58">
        <f>'TRF-25'!J50</f>
        <v>543.2</v>
      </c>
      <c r="L22" s="58">
        <f>'TRF-25'!K50</f>
        <v>565.74</v>
      </c>
      <c r="M22" s="58">
        <f>'TRF-25'!L50</f>
        <v>1003.17</v>
      </c>
    </row>
    <row r="23" spans="1:13" ht="12.75">
      <c r="A23" s="11"/>
      <c r="B23" s="131"/>
      <c r="C23" s="11"/>
      <c r="D23" s="11" t="s">
        <v>1105</v>
      </c>
      <c r="E23" s="43">
        <f aca="true" t="shared" si="1" ref="E23:M23">SUM(E20:E22)</f>
        <v>247.52999999999997</v>
      </c>
      <c r="F23" s="43">
        <f t="shared" si="1"/>
        <v>250.8</v>
      </c>
      <c r="G23" s="43">
        <f t="shared" si="1"/>
        <v>335.96</v>
      </c>
      <c r="H23" s="43">
        <f t="shared" si="1"/>
        <v>730.39</v>
      </c>
      <c r="I23" s="43">
        <f t="shared" si="1"/>
        <v>821.3599999999999</v>
      </c>
      <c r="J23" s="43">
        <f t="shared" si="1"/>
        <v>853.31</v>
      </c>
      <c r="K23" s="43">
        <f t="shared" si="1"/>
        <v>939.03</v>
      </c>
      <c r="L23" s="43">
        <f t="shared" si="1"/>
        <v>972.3634414</v>
      </c>
      <c r="M23" s="43">
        <f t="shared" si="1"/>
        <v>1435.0634414</v>
      </c>
    </row>
    <row r="24" spans="1:13" ht="12.75">
      <c r="A24" s="11"/>
      <c r="B24" s="131"/>
      <c r="C24" s="11"/>
      <c r="D24" s="11"/>
      <c r="E24" s="43"/>
      <c r="F24" s="43"/>
      <c r="G24" s="43"/>
      <c r="H24" s="11"/>
      <c r="I24" s="11"/>
      <c r="J24" s="11"/>
      <c r="K24" s="11"/>
      <c r="L24" s="11"/>
      <c r="M24" s="11"/>
    </row>
    <row r="25" spans="1:13" ht="12.75">
      <c r="A25" s="11"/>
      <c r="B25" s="10">
        <v>3</v>
      </c>
      <c r="C25" s="11"/>
      <c r="D25" s="152" t="s">
        <v>851</v>
      </c>
      <c r="E25" s="43">
        <f aca="true" t="shared" si="2" ref="E25:J25">E18-E23</f>
        <v>91.83131972500007</v>
      </c>
      <c r="F25" s="43">
        <f t="shared" si="2"/>
        <v>70.69999999999999</v>
      </c>
      <c r="G25" s="43">
        <f t="shared" si="2"/>
        <v>-25.349999999999966</v>
      </c>
      <c r="H25" s="43">
        <f t="shared" si="2"/>
        <v>-99.77999999999997</v>
      </c>
      <c r="I25" s="43">
        <f t="shared" si="2"/>
        <v>-313.4299999999999</v>
      </c>
      <c r="J25" s="43">
        <f t="shared" si="2"/>
        <v>-410.5983878786001</v>
      </c>
      <c r="K25" s="43">
        <f>K18-K23</f>
        <v>-458.0579908500001</v>
      </c>
      <c r="L25" s="43">
        <f>L18-L23</f>
        <v>-458.9093224000002</v>
      </c>
      <c r="M25" s="43">
        <f>M18-M23</f>
        <v>-939.2045163458336</v>
      </c>
    </row>
    <row r="26" spans="1:13" ht="12.75">
      <c r="A26" s="11"/>
      <c r="B26" s="10"/>
      <c r="C26" s="11"/>
      <c r="D26" s="152"/>
      <c r="E26" s="43"/>
      <c r="F26" s="43"/>
      <c r="G26" s="43"/>
      <c r="H26" s="11"/>
      <c r="I26" s="11"/>
      <c r="J26" s="11"/>
      <c r="K26" s="11"/>
      <c r="L26" s="11"/>
      <c r="M26" s="11"/>
    </row>
    <row r="27" spans="1:13" ht="12.75">
      <c r="A27" s="11"/>
      <c r="B27" s="10">
        <v>4</v>
      </c>
      <c r="C27" s="11"/>
      <c r="D27" s="183" t="s">
        <v>852</v>
      </c>
      <c r="E27" s="58"/>
      <c r="F27" s="58"/>
      <c r="G27" s="58"/>
      <c r="H27" s="11"/>
      <c r="I27" s="11"/>
      <c r="J27" s="11"/>
      <c r="K27" s="11"/>
      <c r="L27" s="11"/>
      <c r="M27" s="11"/>
    </row>
    <row r="28" spans="1:13" ht="12.75">
      <c r="A28" s="11"/>
      <c r="B28" s="10">
        <v>5</v>
      </c>
      <c r="C28" s="152"/>
      <c r="D28" s="11"/>
      <c r="E28" s="58"/>
      <c r="F28" s="58"/>
      <c r="G28" s="58"/>
      <c r="H28" s="11"/>
      <c r="I28" s="11"/>
      <c r="J28" s="11"/>
      <c r="K28" s="11"/>
      <c r="L28" s="11"/>
      <c r="M28" s="11"/>
    </row>
    <row r="29" spans="1:13" ht="12.75">
      <c r="A29" s="11"/>
      <c r="B29" s="10"/>
      <c r="C29" s="152"/>
      <c r="D29" s="152" t="s">
        <v>853</v>
      </c>
      <c r="E29" s="58">
        <f>E25*E27</f>
        <v>0</v>
      </c>
      <c r="F29" s="58">
        <f>F25*F27</f>
        <v>0</v>
      </c>
      <c r="G29" s="58">
        <f>G25*G27</f>
        <v>0</v>
      </c>
      <c r="H29" s="11"/>
      <c r="I29" s="11"/>
      <c r="J29" s="11"/>
      <c r="K29" s="11"/>
      <c r="L29" s="11"/>
      <c r="M29" s="11"/>
    </row>
    <row r="30" spans="1:13" ht="12.75">
      <c r="A30" s="11"/>
      <c r="B30" s="11">
        <v>1</v>
      </c>
      <c r="C30" s="11"/>
      <c r="D30" s="11" t="s">
        <v>837</v>
      </c>
      <c r="E30" s="58"/>
      <c r="F30" s="58"/>
      <c r="G30" s="58"/>
      <c r="H30" s="11"/>
      <c r="I30" s="11"/>
      <c r="J30" s="11"/>
      <c r="K30" s="11"/>
      <c r="L30" s="11"/>
      <c r="M30" s="11"/>
    </row>
    <row r="31" spans="1:13" ht="12.75">
      <c r="A31" s="11"/>
      <c r="B31" s="11">
        <v>2</v>
      </c>
      <c r="C31" s="11"/>
      <c r="D31" s="132" t="s">
        <v>855</v>
      </c>
      <c r="E31" s="58"/>
      <c r="F31" s="58"/>
      <c r="G31" s="58"/>
      <c r="H31" s="11"/>
      <c r="I31" s="11"/>
      <c r="J31" s="11"/>
      <c r="K31" s="11"/>
      <c r="L31" s="11"/>
      <c r="M31" s="11"/>
    </row>
    <row r="32" ht="12.75">
      <c r="B32" s="130"/>
    </row>
    <row r="43" ht="12.75">
      <c r="A43" s="184"/>
    </row>
  </sheetData>
  <sheetProtection/>
  <printOptions/>
  <pageMargins left="0.5" right="0.45" top="1.18" bottom="1" header="0.5" footer="0.5"/>
  <pageSetup fitToHeight="1" fitToWidth="1" horizontalDpi="600" verticalDpi="600" orientation="portrait" r:id="rId1"/>
  <headerFooter alignWithMargins="0">
    <oddFooter>&amp;L&amp;F-&amp;A&amp;CPage-&amp;P of &amp;P&amp;R&amp;D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2:E26"/>
  <sheetViews>
    <sheetView zoomScalePageLayoutView="0" workbookViewId="0" topLeftCell="A1">
      <selection activeCell="E27" sqref="E27"/>
    </sheetView>
  </sheetViews>
  <sheetFormatPr defaultColWidth="9.140625" defaultRowHeight="12.75"/>
  <cols>
    <col min="2" max="2" width="45.421875" style="0" customWidth="1"/>
    <col min="3" max="4" width="9.28125" style="0" bestFit="1" customWidth="1"/>
    <col min="5" max="5" width="9.140625" style="538" customWidth="1"/>
  </cols>
  <sheetData>
    <row r="2" ht="12.75">
      <c r="A2" s="1" t="s">
        <v>748</v>
      </c>
    </row>
    <row r="3" ht="13.5" thickBot="1"/>
    <row r="4" spans="1:5" ht="12.75">
      <c r="A4" s="541">
        <v>1</v>
      </c>
      <c r="B4" s="542" t="s">
        <v>749</v>
      </c>
      <c r="C4" s="543">
        <f>C26/6</f>
        <v>141.27886341196455</v>
      </c>
      <c r="D4" s="421"/>
      <c r="E4" s="538">
        <v>176.106975659294</v>
      </c>
    </row>
    <row r="5" spans="1:3" ht="12.75">
      <c r="A5" s="544"/>
      <c r="B5" s="545"/>
      <c r="C5" s="546"/>
    </row>
    <row r="6" spans="1:5" ht="12.75">
      <c r="A6" s="544">
        <v>2</v>
      </c>
      <c r="B6" s="545" t="s">
        <v>750</v>
      </c>
      <c r="C6" s="547">
        <f>('TRF-13'!M52+'TRF-14'!K29+'TRF-15'!K70)*15%</f>
        <v>70.980613639</v>
      </c>
      <c r="D6" s="436"/>
      <c r="E6" s="538">
        <v>109.48594113900002</v>
      </c>
    </row>
    <row r="7" spans="1:3" ht="12.75">
      <c r="A7" s="544"/>
      <c r="B7" s="545"/>
      <c r="C7" s="546"/>
    </row>
    <row r="8" spans="1:5" ht="12.75">
      <c r="A8" s="544">
        <v>3</v>
      </c>
      <c r="B8" s="545" t="s">
        <v>751</v>
      </c>
      <c r="C8" s="548">
        <f>('TRF-13'!M52+'TRF-14'!K29+'TRF-15'!K70)/12</f>
        <v>39.43367424388889</v>
      </c>
      <c r="D8" s="421"/>
      <c r="E8" s="538">
        <v>60.82552285500001</v>
      </c>
    </row>
    <row r="9" spans="1:3" ht="12.75">
      <c r="A9" s="544"/>
      <c r="B9" s="545"/>
      <c r="C9" s="546"/>
    </row>
    <row r="10" spans="1:5" ht="12.75">
      <c r="A10" s="544"/>
      <c r="B10" s="545" t="s">
        <v>752</v>
      </c>
      <c r="C10" s="548">
        <f>C4+C6+C8</f>
        <v>251.69315129485346</v>
      </c>
      <c r="E10" s="538">
        <v>346.41843965329406</v>
      </c>
    </row>
    <row r="11" spans="1:5" ht="13.5" thickBot="1">
      <c r="A11" s="549"/>
      <c r="B11" s="550" t="s">
        <v>1201</v>
      </c>
      <c r="C11" s="551">
        <f>C10*12.5%</f>
        <v>31.461643911856683</v>
      </c>
      <c r="E11" s="538">
        <v>43.30230495666176</v>
      </c>
    </row>
    <row r="16" spans="2:5" ht="12.75">
      <c r="B16" s="3" t="s">
        <v>753</v>
      </c>
      <c r="C16" s="539">
        <f>'TRF-13'!M52</f>
        <v>341.19999092666666</v>
      </c>
      <c r="D16" s="421"/>
      <c r="E16" s="538">
        <v>597.90217426</v>
      </c>
    </row>
    <row r="17" spans="2:5" ht="12.75">
      <c r="B17" s="3" t="s">
        <v>754</v>
      </c>
      <c r="C17" s="539">
        <f>'TRF-14'!K29</f>
        <v>108.9133</v>
      </c>
      <c r="D17" s="421"/>
      <c r="E17" s="538">
        <v>108.9133</v>
      </c>
    </row>
    <row r="18" spans="2:5" ht="12.75">
      <c r="B18" s="3" t="s">
        <v>755</v>
      </c>
      <c r="C18" s="539">
        <f>'TRF-15'!K70</f>
        <v>23.0908</v>
      </c>
      <c r="D18" s="421"/>
      <c r="E18" s="538">
        <v>23.0908</v>
      </c>
    </row>
    <row r="19" spans="2:5" ht="12.75">
      <c r="B19" s="3" t="s">
        <v>756</v>
      </c>
      <c r="C19" s="539">
        <f>C16+C17+C18</f>
        <v>473.20409092666665</v>
      </c>
      <c r="D19" s="421"/>
      <c r="E19" s="538">
        <v>729.9062742600001</v>
      </c>
    </row>
    <row r="20" spans="2:3" ht="12.75">
      <c r="B20" s="3"/>
      <c r="C20" s="3"/>
    </row>
    <row r="21" spans="2:5" ht="12.75">
      <c r="B21" s="3" t="s">
        <v>757</v>
      </c>
      <c r="C21" s="539">
        <f>'TRF-3'!W89</f>
        <v>121.11156322388162</v>
      </c>
      <c r="D21" s="421"/>
      <c r="E21" s="538">
        <v>114.65881328638163</v>
      </c>
    </row>
    <row r="22" spans="2:5" ht="12.75">
      <c r="B22" s="3" t="s">
        <v>565</v>
      </c>
      <c r="C22" s="539">
        <f>'TRF-23'!EY27</f>
        <v>172.85091640938234</v>
      </c>
      <c r="D22" s="421"/>
      <c r="E22" s="538">
        <v>172.850916409382</v>
      </c>
    </row>
    <row r="23" spans="2:3" ht="12.75">
      <c r="B23" s="3" t="s">
        <v>1014</v>
      </c>
      <c r="C23" s="3"/>
    </row>
    <row r="24" spans="2:5" ht="12.75">
      <c r="B24" s="3" t="s">
        <v>759</v>
      </c>
      <c r="C24" s="540">
        <f>'TRF-5'!L54</f>
        <v>49.044965999999995</v>
      </c>
      <c r="D24" s="437"/>
      <c r="E24" s="538">
        <v>39.22585</v>
      </c>
    </row>
    <row r="25" spans="2:5" ht="12.75">
      <c r="B25" s="3" t="s">
        <v>1243</v>
      </c>
      <c r="C25" s="539">
        <f>C11</f>
        <v>31.461643911856683</v>
      </c>
      <c r="E25" s="538">
        <v>43.30230495666176</v>
      </c>
    </row>
    <row r="26" spans="2:5" ht="12.75">
      <c r="B26" s="3" t="s">
        <v>1127</v>
      </c>
      <c r="C26" s="539">
        <f>SUM(C19:C25)</f>
        <v>847.6731804717873</v>
      </c>
      <c r="E26" s="538">
        <v>1056.64185395576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G11"/>
  <sheetViews>
    <sheetView view="pageBreakPreview" zoomScale="60" zoomScalePageLayoutView="0" workbookViewId="0" topLeftCell="A1">
      <selection activeCell="G9" sqref="G9"/>
    </sheetView>
  </sheetViews>
  <sheetFormatPr defaultColWidth="9.140625" defaultRowHeight="12.75"/>
  <cols>
    <col min="2" max="2" width="14.57421875" style="0" customWidth="1"/>
    <col min="3" max="3" width="13.421875" style="0" customWidth="1"/>
    <col min="4" max="6" width="12.140625" style="0" customWidth="1"/>
    <col min="7" max="7" width="12.7109375" style="0" customWidth="1"/>
  </cols>
  <sheetData>
    <row r="2" ht="12.75">
      <c r="A2" s="1" t="s">
        <v>138</v>
      </c>
    </row>
    <row r="3" ht="12.75">
      <c r="E3" t="s">
        <v>140</v>
      </c>
    </row>
    <row r="4" spans="1:7" ht="51">
      <c r="A4" s="77"/>
      <c r="B4" s="91" t="s">
        <v>147</v>
      </c>
      <c r="C4" s="91" t="s">
        <v>141</v>
      </c>
      <c r="D4" s="91" t="s">
        <v>142</v>
      </c>
      <c r="E4" s="91" t="s">
        <v>143</v>
      </c>
      <c r="F4" s="91" t="s">
        <v>117</v>
      </c>
      <c r="G4" s="76" t="s">
        <v>148</v>
      </c>
    </row>
    <row r="5" spans="1:7" ht="27.75" customHeight="1">
      <c r="A5" s="77" t="s">
        <v>578</v>
      </c>
      <c r="B5" s="44">
        <v>1412.23</v>
      </c>
      <c r="C5" s="44">
        <v>885.1</v>
      </c>
      <c r="D5" s="44">
        <f>67.25/8*12</f>
        <v>100.875</v>
      </c>
      <c r="E5" s="44">
        <f>C5+D5</f>
        <v>985.975</v>
      </c>
      <c r="F5" s="78">
        <f>B5-E5</f>
        <v>426.255</v>
      </c>
      <c r="G5" s="539">
        <f>F5</f>
        <v>426.255</v>
      </c>
    </row>
    <row r="6" spans="1:7" ht="27.75" customHeight="1">
      <c r="A6" s="77" t="s">
        <v>579</v>
      </c>
      <c r="B6" s="44">
        <v>51.86</v>
      </c>
      <c r="C6" s="44">
        <v>66.09</v>
      </c>
      <c r="D6" s="44">
        <f>8.74/8*12</f>
        <v>13.11</v>
      </c>
      <c r="E6" s="44">
        <f>C6+D6</f>
        <v>79.2</v>
      </c>
      <c r="F6" s="78">
        <f>B6-E6</f>
        <v>-27.340000000000003</v>
      </c>
      <c r="G6" s="3">
        <v>0</v>
      </c>
    </row>
    <row r="7" spans="1:7" ht="27.75" customHeight="1">
      <c r="A7" s="77" t="s">
        <v>139</v>
      </c>
      <c r="B7" s="44">
        <v>73.53</v>
      </c>
      <c r="C7" s="44">
        <v>64.67</v>
      </c>
      <c r="D7" s="44">
        <f>4.41/8*12</f>
        <v>6.615</v>
      </c>
      <c r="E7" s="44">
        <f>C7+D7</f>
        <v>71.285</v>
      </c>
      <c r="F7" s="78">
        <f>B7-E7</f>
        <v>2.2450000000000045</v>
      </c>
      <c r="G7" s="539">
        <f>F7</f>
        <v>2.2450000000000045</v>
      </c>
    </row>
    <row r="8" spans="1:7" ht="27.75" customHeight="1">
      <c r="A8" s="77" t="s">
        <v>1018</v>
      </c>
      <c r="B8" s="78">
        <f>SUM(B5:B7)</f>
        <v>1537.62</v>
      </c>
      <c r="C8" s="78">
        <f>SUM(C5:C7)</f>
        <v>1015.86</v>
      </c>
      <c r="D8" s="78">
        <f>SUM(D5:D7)</f>
        <v>120.6</v>
      </c>
      <c r="E8" s="78">
        <f>SUM(E5:E7)</f>
        <v>1136.46</v>
      </c>
      <c r="F8" s="78">
        <f>B8-E8</f>
        <v>401.15999999999985</v>
      </c>
      <c r="G8" s="78">
        <f>SUM(G5:G7)</f>
        <v>428.5</v>
      </c>
    </row>
    <row r="9" spans="1:7" ht="21" customHeight="1">
      <c r="A9" s="77" t="s">
        <v>144</v>
      </c>
      <c r="B9" s="77"/>
      <c r="C9" s="77"/>
      <c r="D9" s="77"/>
      <c r="E9" s="77"/>
      <c r="F9" s="44">
        <v>1.3</v>
      </c>
      <c r="G9" s="438">
        <v>1.3</v>
      </c>
    </row>
    <row r="11" spans="1:2" ht="12.75">
      <c r="A11" t="s">
        <v>145</v>
      </c>
      <c r="B11" t="s">
        <v>146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66"/>
  <sheetViews>
    <sheetView zoomScalePageLayoutView="0" workbookViewId="0" topLeftCell="A1">
      <pane xSplit="2" ySplit="10" topLeftCell="H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J39" sqref="J39"/>
    </sheetView>
  </sheetViews>
  <sheetFormatPr defaultColWidth="14.7109375" defaultRowHeight="12.75"/>
  <cols>
    <col min="1" max="1" width="4.8515625" style="62" customWidth="1"/>
    <col min="2" max="2" width="37.28125" style="62" customWidth="1"/>
    <col min="3" max="3" width="14.8515625" style="62" hidden="1" customWidth="1"/>
    <col min="4" max="4" width="12.8515625" style="62" hidden="1" customWidth="1"/>
    <col min="5" max="5" width="14.7109375" style="62" hidden="1" customWidth="1"/>
    <col min="6" max="6" width="13.28125" style="62" hidden="1" customWidth="1"/>
    <col min="7" max="7" width="13.7109375" style="351" hidden="1" customWidth="1"/>
    <col min="8" max="8" width="15.8515625" style="62" customWidth="1"/>
    <col min="9" max="9" width="19.421875" style="62" customWidth="1"/>
    <col min="10" max="10" width="20.8515625" style="62" customWidth="1"/>
    <col min="11" max="11" width="14.00390625" style="62" customWidth="1"/>
    <col min="12" max="16384" width="14.7109375" style="62" customWidth="1"/>
  </cols>
  <sheetData>
    <row r="1" ht="12.75">
      <c r="A1" s="130" t="s">
        <v>458</v>
      </c>
    </row>
    <row r="2" spans="1:3" ht="12.75">
      <c r="A2" s="130"/>
      <c r="C2" s="84"/>
    </row>
    <row r="3" spans="1:8" ht="12.75">
      <c r="A3" s="130"/>
      <c r="C3" s="84"/>
      <c r="D3" s="86"/>
      <c r="E3" s="86"/>
      <c r="H3" s="86" t="s">
        <v>51</v>
      </c>
    </row>
    <row r="4" spans="1:7" ht="12.75">
      <c r="A4" s="555" t="s">
        <v>597</v>
      </c>
      <c r="B4" s="555"/>
      <c r="C4" s="555"/>
      <c r="D4" s="555"/>
      <c r="E4" s="555"/>
      <c r="F4" s="12"/>
      <c r="G4" s="352"/>
    </row>
    <row r="5" spans="1:7" ht="12.75">
      <c r="A5" s="12"/>
      <c r="B5" s="12"/>
      <c r="C5" s="12"/>
      <c r="D5" s="12"/>
      <c r="E5" s="12"/>
      <c r="F5" s="12"/>
      <c r="G5" s="352"/>
    </row>
    <row r="6" spans="1:7" ht="12.75">
      <c r="A6" s="12"/>
      <c r="B6" s="104" t="s">
        <v>1350</v>
      </c>
      <c r="C6" s="12"/>
      <c r="D6" s="12"/>
      <c r="E6" s="12"/>
      <c r="F6" s="12"/>
      <c r="G6" s="352"/>
    </row>
    <row r="7" spans="1:9" ht="12.75">
      <c r="A7" s="279"/>
      <c r="B7" s="104" t="s">
        <v>1351</v>
      </c>
      <c r="C7" s="280"/>
      <c r="H7" s="479" t="s">
        <v>1366</v>
      </c>
      <c r="I7" s="479"/>
    </row>
    <row r="8" spans="1:3" ht="12.75">
      <c r="A8" s="279"/>
      <c r="B8" s="104" t="s">
        <v>1352</v>
      </c>
      <c r="C8" s="280"/>
    </row>
    <row r="10" spans="1:10" ht="25.5">
      <c r="A10" s="11"/>
      <c r="B10" s="11"/>
      <c r="C10" s="225" t="s">
        <v>177</v>
      </c>
      <c r="D10" s="225" t="s">
        <v>433</v>
      </c>
      <c r="E10" s="225" t="s">
        <v>973</v>
      </c>
      <c r="F10" s="278" t="s">
        <v>979</v>
      </c>
      <c r="G10" s="353" t="s">
        <v>879</v>
      </c>
      <c r="H10" s="278" t="s">
        <v>880</v>
      </c>
      <c r="I10" s="278" t="s">
        <v>1306</v>
      </c>
      <c r="J10" s="225" t="s">
        <v>878</v>
      </c>
    </row>
    <row r="11" spans="1:10" ht="12.75">
      <c r="A11" s="281" t="s">
        <v>599</v>
      </c>
      <c r="B11" s="152" t="s">
        <v>894</v>
      </c>
      <c r="C11" s="58"/>
      <c r="D11" s="58"/>
      <c r="E11" s="58"/>
      <c r="F11" s="218"/>
      <c r="G11" s="354"/>
      <c r="H11" s="218"/>
      <c r="I11" s="218"/>
      <c r="J11" s="58"/>
    </row>
    <row r="12" spans="1:10" ht="12.75">
      <c r="A12" s="155"/>
      <c r="B12" s="152" t="s">
        <v>600</v>
      </c>
      <c r="C12" s="58"/>
      <c r="D12" s="58"/>
      <c r="E12" s="58"/>
      <c r="F12" s="218"/>
      <c r="G12" s="354"/>
      <c r="H12" s="218"/>
      <c r="I12" s="218"/>
      <c r="J12" s="58"/>
    </row>
    <row r="13" spans="1:10" ht="12.75">
      <c r="A13" s="155"/>
      <c r="B13" s="11"/>
      <c r="C13" s="156"/>
      <c r="D13" s="58"/>
      <c r="E13" s="58"/>
      <c r="F13" s="218"/>
      <c r="G13" s="354"/>
      <c r="H13" s="218"/>
      <c r="I13" s="218"/>
      <c r="J13" s="58"/>
    </row>
    <row r="14" spans="1:10" ht="12.75">
      <c r="A14" s="155"/>
      <c r="B14" s="11" t="s">
        <v>601</v>
      </c>
      <c r="C14" s="58">
        <f>D43</f>
        <v>1922.2</v>
      </c>
      <c r="D14" s="58">
        <f>E43</f>
        <v>2066.43</v>
      </c>
      <c r="E14" s="58">
        <f>F43</f>
        <v>2272.53</v>
      </c>
      <c r="F14" s="218">
        <f>G43</f>
        <v>2415.26</v>
      </c>
      <c r="G14" s="354">
        <f>H43</f>
        <v>2793.54</v>
      </c>
      <c r="H14" s="218">
        <f>H43</f>
        <v>2793.54</v>
      </c>
      <c r="I14" s="218">
        <f>I43</f>
        <v>2929.11</v>
      </c>
      <c r="J14" s="218">
        <f>J43</f>
        <v>3345.6800000000003</v>
      </c>
    </row>
    <row r="15" spans="1:10" ht="12.75">
      <c r="A15" s="155"/>
      <c r="B15" s="155"/>
      <c r="C15" s="58"/>
      <c r="D15" s="58"/>
      <c r="E15" s="58"/>
      <c r="F15" s="218"/>
      <c r="G15" s="354"/>
      <c r="H15" s="218"/>
      <c r="I15" s="218"/>
      <c r="J15" s="58"/>
    </row>
    <row r="16" spans="1:10" ht="12.75">
      <c r="A16" s="155"/>
      <c r="B16" s="11" t="s">
        <v>603</v>
      </c>
      <c r="C16" s="58">
        <f>D37</f>
        <v>859.92</v>
      </c>
      <c r="D16" s="58">
        <f>E37</f>
        <v>824.3299999999999</v>
      </c>
      <c r="E16" s="87">
        <f>F37</f>
        <v>722.1399999999999</v>
      </c>
      <c r="F16" s="314">
        <f>G37</f>
        <v>671.0999999999999</v>
      </c>
      <c r="G16" s="355">
        <f>H37</f>
        <v>493.53</v>
      </c>
      <c r="H16" s="314">
        <f>H37</f>
        <v>493.53</v>
      </c>
      <c r="I16" s="314">
        <f>I37</f>
        <v>702.05</v>
      </c>
      <c r="J16" s="314">
        <f>J37</f>
        <v>735.1205456875</v>
      </c>
    </row>
    <row r="17" spans="1:10" ht="12.75">
      <c r="A17" s="155"/>
      <c r="B17" s="11"/>
      <c r="C17" s="58"/>
      <c r="D17" s="58"/>
      <c r="E17" s="58"/>
      <c r="F17" s="218"/>
      <c r="G17" s="354"/>
      <c r="H17" s="218"/>
      <c r="I17" s="218"/>
      <c r="J17" s="58"/>
    </row>
    <row r="18" spans="1:10" ht="12.75">
      <c r="A18" s="155"/>
      <c r="B18" s="152" t="s">
        <v>602</v>
      </c>
      <c r="C18" s="43">
        <f aca="true" t="shared" si="0" ref="C18:J18">SUM(C14:C17)</f>
        <v>2782.12</v>
      </c>
      <c r="D18" s="43">
        <f t="shared" si="0"/>
        <v>2890.7599999999998</v>
      </c>
      <c r="E18" s="43">
        <f t="shared" si="0"/>
        <v>2994.67</v>
      </c>
      <c r="F18" s="219">
        <f t="shared" si="0"/>
        <v>3086.36</v>
      </c>
      <c r="G18" s="356">
        <f t="shared" si="0"/>
        <v>3287.0699999999997</v>
      </c>
      <c r="H18" s="219">
        <f t="shared" si="0"/>
        <v>3287.0699999999997</v>
      </c>
      <c r="I18" s="219">
        <f t="shared" si="0"/>
        <v>3631.16</v>
      </c>
      <c r="J18" s="219">
        <f t="shared" si="0"/>
        <v>4080.8005456875003</v>
      </c>
    </row>
    <row r="19" spans="1:10" ht="12.75">
      <c r="A19" s="155"/>
      <c r="B19" s="11"/>
      <c r="C19" s="58"/>
      <c r="D19" s="58"/>
      <c r="E19" s="58"/>
      <c r="F19" s="218"/>
      <c r="G19" s="354"/>
      <c r="H19" s="218"/>
      <c r="I19" s="218"/>
      <c r="J19" s="58"/>
    </row>
    <row r="20" spans="1:10" ht="12.75">
      <c r="A20" s="281" t="s">
        <v>604</v>
      </c>
      <c r="B20" s="152" t="s">
        <v>893</v>
      </c>
      <c r="C20" s="58"/>
      <c r="D20" s="58"/>
      <c r="E20" s="58"/>
      <c r="F20" s="218"/>
      <c r="G20" s="354"/>
      <c r="H20" s="218"/>
      <c r="I20" s="218"/>
      <c r="J20" s="58"/>
    </row>
    <row r="21" spans="1:10" ht="12.75">
      <c r="A21" s="155"/>
      <c r="B21" s="11"/>
      <c r="C21" s="58"/>
      <c r="D21" s="58"/>
      <c r="E21" s="58"/>
      <c r="F21" s="218"/>
      <c r="G21" s="354"/>
      <c r="H21" s="218"/>
      <c r="I21" s="218"/>
      <c r="J21" s="58"/>
    </row>
    <row r="22" spans="1:10" ht="12.75">
      <c r="A22" s="155"/>
      <c r="B22" s="11" t="s">
        <v>601</v>
      </c>
      <c r="C22" s="58">
        <f>D45</f>
        <v>0</v>
      </c>
      <c r="D22" s="58">
        <f>E45</f>
        <v>0</v>
      </c>
      <c r="E22" s="58">
        <v>0</v>
      </c>
      <c r="F22" s="218">
        <v>0</v>
      </c>
      <c r="G22" s="354">
        <f>H38-62.72</f>
        <v>222.62000000000003</v>
      </c>
      <c r="H22" s="218">
        <f>H44+H45</f>
        <v>135.57</v>
      </c>
      <c r="I22" s="218">
        <f>I44+I45</f>
        <v>416.57</v>
      </c>
      <c r="J22" s="218">
        <f>J44+J45</f>
        <v>444.52</v>
      </c>
    </row>
    <row r="23" spans="1:10" ht="12.75">
      <c r="A23" s="155"/>
      <c r="B23" s="131" t="s">
        <v>892</v>
      </c>
      <c r="C23" s="11"/>
      <c r="D23" s="11"/>
      <c r="E23" s="58"/>
      <c r="F23" s="218"/>
      <c r="G23" s="354"/>
      <c r="H23" s="218"/>
      <c r="I23" s="218"/>
      <c r="J23" s="58"/>
    </row>
    <row r="24" spans="1:10" ht="12.75">
      <c r="A24" s="155"/>
      <c r="B24" s="11"/>
      <c r="C24" s="58"/>
      <c r="D24" s="58"/>
      <c r="E24" s="58"/>
      <c r="F24" s="218"/>
      <c r="G24" s="354"/>
      <c r="H24" s="218"/>
      <c r="I24" s="218"/>
      <c r="J24" s="58"/>
    </row>
    <row r="25" spans="1:10" ht="12.75">
      <c r="A25" s="155"/>
      <c r="B25" s="11" t="s">
        <v>603</v>
      </c>
      <c r="C25" s="58">
        <f>D38</f>
        <v>108.64</v>
      </c>
      <c r="D25" s="58">
        <f>E38</f>
        <v>103.9</v>
      </c>
      <c r="E25" s="58">
        <f>F38</f>
        <v>91.68</v>
      </c>
      <c r="F25" s="218">
        <f>G38</f>
        <v>93.44999999999999</v>
      </c>
      <c r="G25" s="354">
        <f>H38</f>
        <v>285.34000000000003</v>
      </c>
      <c r="H25" s="218">
        <f>H38-H39+H49</f>
        <v>209.62000000000003</v>
      </c>
      <c r="I25" s="218">
        <f>I38-I39+I49</f>
        <v>33.070545687500044</v>
      </c>
      <c r="J25" s="218">
        <f>J38-J39+J49</f>
        <v>238.371452375</v>
      </c>
    </row>
    <row r="26" spans="1:10" ht="12.75">
      <c r="A26" s="155"/>
      <c r="B26" s="131" t="s">
        <v>1070</v>
      </c>
      <c r="C26" s="58"/>
      <c r="D26" s="58"/>
      <c r="E26" s="58"/>
      <c r="F26" s="218"/>
      <c r="G26" s="354"/>
      <c r="H26" s="218"/>
      <c r="I26" s="218"/>
      <c r="J26" s="58"/>
    </row>
    <row r="27" spans="1:10" ht="12.75">
      <c r="A27" s="155"/>
      <c r="B27" s="152" t="s">
        <v>602</v>
      </c>
      <c r="C27" s="43">
        <f aca="true" t="shared" si="1" ref="C27:H27">C22+C25</f>
        <v>108.64</v>
      </c>
      <c r="D27" s="43">
        <f t="shared" si="1"/>
        <v>103.9</v>
      </c>
      <c r="E27" s="43">
        <f t="shared" si="1"/>
        <v>91.68</v>
      </c>
      <c r="F27" s="219">
        <f t="shared" si="1"/>
        <v>93.44999999999999</v>
      </c>
      <c r="G27" s="356">
        <f t="shared" si="1"/>
        <v>507.96000000000004</v>
      </c>
      <c r="H27" s="219">
        <f t="shared" si="1"/>
        <v>345.19000000000005</v>
      </c>
      <c r="I27" s="219">
        <f>I22+I25</f>
        <v>449.64054568750004</v>
      </c>
      <c r="J27" s="219">
        <f>J22+J25</f>
        <v>682.891452375</v>
      </c>
    </row>
    <row r="28" spans="1:10" ht="12.75">
      <c r="A28" s="155"/>
      <c r="B28" s="11"/>
      <c r="C28" s="58"/>
      <c r="D28" s="58"/>
      <c r="E28" s="58"/>
      <c r="F28" s="218"/>
      <c r="G28" s="354"/>
      <c r="H28" s="218"/>
      <c r="I28" s="218"/>
      <c r="J28" s="58"/>
    </row>
    <row r="29" spans="1:10" ht="12.75">
      <c r="A29" s="281" t="s">
        <v>605</v>
      </c>
      <c r="B29" s="152" t="s">
        <v>606</v>
      </c>
      <c r="C29" s="58">
        <f aca="true" t="shared" si="2" ref="C29:I29">D46</f>
        <v>0</v>
      </c>
      <c r="D29" s="58">
        <f t="shared" si="2"/>
        <v>0</v>
      </c>
      <c r="E29" s="58">
        <f t="shared" si="2"/>
        <v>0</v>
      </c>
      <c r="F29" s="218">
        <f t="shared" si="2"/>
        <v>0</v>
      </c>
      <c r="G29" s="354">
        <f>H46</f>
        <v>0</v>
      </c>
      <c r="H29" s="218">
        <v>62.72</v>
      </c>
      <c r="I29" s="218">
        <f t="shared" si="2"/>
        <v>0</v>
      </c>
      <c r="J29" s="58"/>
    </row>
    <row r="30" spans="1:10" ht="12.75">
      <c r="A30" s="281"/>
      <c r="B30" s="158"/>
      <c r="C30" s="58"/>
      <c r="D30" s="58"/>
      <c r="E30" s="58"/>
      <c r="F30" s="218"/>
      <c r="G30" s="354"/>
      <c r="H30" s="218"/>
      <c r="I30" s="218"/>
      <c r="J30" s="58"/>
    </row>
    <row r="31" spans="1:10" ht="12.75">
      <c r="A31" s="155"/>
      <c r="B31" s="158"/>
      <c r="C31" s="11"/>
      <c r="D31" s="11"/>
      <c r="E31" s="58"/>
      <c r="F31" s="218"/>
      <c r="G31" s="354"/>
      <c r="H31" s="218"/>
      <c r="I31" s="218"/>
      <c r="J31" s="58"/>
    </row>
    <row r="32" spans="1:10" ht="12.75">
      <c r="A32" s="155"/>
      <c r="B32" s="152" t="s">
        <v>399</v>
      </c>
      <c r="C32" s="43">
        <f aca="true" t="shared" si="3" ref="C32:H32">C18+C27-C29</f>
        <v>2890.7599999999998</v>
      </c>
      <c r="D32" s="43">
        <f t="shared" si="3"/>
        <v>2994.66</v>
      </c>
      <c r="E32" s="43">
        <f t="shared" si="3"/>
        <v>3086.35</v>
      </c>
      <c r="F32" s="219">
        <f t="shared" si="3"/>
        <v>3179.81</v>
      </c>
      <c r="G32" s="356">
        <f t="shared" si="3"/>
        <v>3795.0299999999997</v>
      </c>
      <c r="H32" s="219">
        <f t="shared" si="3"/>
        <v>3569.54</v>
      </c>
      <c r="I32" s="219">
        <f>I18+I27-I29</f>
        <v>4080.8005456875</v>
      </c>
      <c r="J32" s="219">
        <f>J18+J27-J29</f>
        <v>4763.691998062501</v>
      </c>
    </row>
    <row r="35" spans="1:3" ht="12.75">
      <c r="A35" s="127"/>
      <c r="B35" s="130" t="s">
        <v>626</v>
      </c>
      <c r="C35" s="157"/>
    </row>
    <row r="36" spans="1:12" ht="25.5">
      <c r="A36" s="62">
        <v>1</v>
      </c>
      <c r="B36" s="152" t="s">
        <v>1294</v>
      </c>
      <c r="C36" s="225" t="s">
        <v>908</v>
      </c>
      <c r="D36" s="225" t="s">
        <v>178</v>
      </c>
      <c r="E36" s="225" t="s">
        <v>436</v>
      </c>
      <c r="F36" s="225" t="s">
        <v>727</v>
      </c>
      <c r="G36" s="357" t="s">
        <v>983</v>
      </c>
      <c r="H36" s="225" t="s">
        <v>1312</v>
      </c>
      <c r="I36" s="225" t="s">
        <v>972</v>
      </c>
      <c r="J36" s="225" t="s">
        <v>1307</v>
      </c>
      <c r="L36" s="225"/>
    </row>
    <row r="37" spans="2:10" ht="12.75">
      <c r="B37" s="11" t="s">
        <v>1041</v>
      </c>
      <c r="C37" s="58">
        <v>955.23</v>
      </c>
      <c r="D37" s="58">
        <f>859.92</f>
        <v>859.92</v>
      </c>
      <c r="E37" s="72">
        <f aca="true" t="shared" si="4" ref="E37:J37">D40</f>
        <v>824.3299999999999</v>
      </c>
      <c r="F37" s="157">
        <f t="shared" si="4"/>
        <v>722.1399999999999</v>
      </c>
      <c r="G37" s="358">
        <f t="shared" si="4"/>
        <v>671.0999999999999</v>
      </c>
      <c r="H37" s="72">
        <f>'TRF-2'!D162</f>
        <v>493.53</v>
      </c>
      <c r="I37" s="157">
        <f t="shared" si="4"/>
        <v>702.05</v>
      </c>
      <c r="J37" s="157">
        <f t="shared" si="4"/>
        <v>735.1205456875</v>
      </c>
    </row>
    <row r="38" spans="2:12" ht="12.75">
      <c r="B38" s="11" t="s">
        <v>624</v>
      </c>
      <c r="C38" s="72">
        <v>70.86</v>
      </c>
      <c r="D38" s="72">
        <v>108.64</v>
      </c>
      <c r="E38" s="72">
        <v>103.9</v>
      </c>
      <c r="F38" s="72">
        <v>91.68</v>
      </c>
      <c r="G38" s="359">
        <f>68.77+31.5-6.82</f>
        <v>93.44999999999999</v>
      </c>
      <c r="H38" s="72">
        <f>'TRF-2'!E162+'TRF-2'!F162</f>
        <v>285.34000000000003</v>
      </c>
      <c r="I38" s="72">
        <f>'TRF-2'!K162+'TRF-2'!L162</f>
        <v>449.64054568750004</v>
      </c>
      <c r="J38" s="72">
        <f>'TRF-2'!O162+'TRF-2'!P162</f>
        <v>682.891452375</v>
      </c>
      <c r="L38" s="157"/>
    </row>
    <row r="39" spans="2:10" ht="12.75">
      <c r="B39" s="11" t="s">
        <v>733</v>
      </c>
      <c r="C39" s="58">
        <f>166.1658217</f>
        <v>166.1658217</v>
      </c>
      <c r="D39" s="58">
        <v>144.23</v>
      </c>
      <c r="E39" s="58">
        <v>206.09</v>
      </c>
      <c r="F39" s="58">
        <v>142.72</v>
      </c>
      <c r="G39" s="360">
        <v>188.48</v>
      </c>
      <c r="H39" s="58">
        <f>'TRF-2'!G162+0.01</f>
        <v>76.82000000000001</v>
      </c>
      <c r="I39" s="58">
        <f>'TRF-2'!M162</f>
        <v>416.57</v>
      </c>
      <c r="J39" s="58">
        <f>'TRF-2'!Q162</f>
        <v>444.52</v>
      </c>
    </row>
    <row r="40" spans="2:12" ht="12.75">
      <c r="B40" s="11" t="s">
        <v>1043</v>
      </c>
      <c r="C40" s="58">
        <f aca="true" t="shared" si="5" ref="C40:J40">C37+C38-C39</f>
        <v>859.9241782999999</v>
      </c>
      <c r="D40" s="58">
        <f t="shared" si="5"/>
        <v>824.3299999999999</v>
      </c>
      <c r="E40" s="58">
        <f t="shared" si="5"/>
        <v>722.1399999999999</v>
      </c>
      <c r="F40" s="58">
        <f t="shared" si="5"/>
        <v>671.0999999999999</v>
      </c>
      <c r="G40" s="360">
        <f t="shared" si="5"/>
        <v>576.0699999999999</v>
      </c>
      <c r="H40" s="58">
        <f t="shared" si="5"/>
        <v>702.05</v>
      </c>
      <c r="I40" s="58">
        <f t="shared" si="5"/>
        <v>735.1205456875</v>
      </c>
      <c r="J40" s="58">
        <f t="shared" si="5"/>
        <v>973.4919980625</v>
      </c>
      <c r="K40" s="282">
        <f>538.19-729.22</f>
        <v>-191.02999999999997</v>
      </c>
      <c r="L40" s="157"/>
    </row>
    <row r="41" spans="2:5" ht="12.75">
      <c r="B41" s="11"/>
      <c r="C41" s="11"/>
      <c r="D41" s="11"/>
      <c r="E41" s="11"/>
    </row>
    <row r="42" spans="1:10" ht="12.75">
      <c r="A42" s="62">
        <v>2</v>
      </c>
      <c r="B42" s="152" t="s">
        <v>627</v>
      </c>
      <c r="C42" s="11"/>
      <c r="D42" s="11"/>
      <c r="E42" s="11"/>
      <c r="F42" s="66"/>
      <c r="G42" s="361"/>
      <c r="H42" s="66"/>
      <c r="I42" s="66"/>
      <c r="J42" s="66"/>
    </row>
    <row r="43" spans="2:10" ht="12.75">
      <c r="B43" s="11" t="s">
        <v>1041</v>
      </c>
      <c r="C43" s="72">
        <v>1763.29</v>
      </c>
      <c r="D43" s="72">
        <f>1922.2</f>
        <v>1922.2</v>
      </c>
      <c r="E43" s="72">
        <f>D47</f>
        <v>2066.43</v>
      </c>
      <c r="F43" s="72">
        <f>E47+0.01</f>
        <v>2272.53</v>
      </c>
      <c r="G43" s="359">
        <f>F47+0.01</f>
        <v>2415.26</v>
      </c>
      <c r="H43" s="72">
        <v>2793.54</v>
      </c>
      <c r="I43" s="72">
        <f>H47</f>
        <v>2929.11</v>
      </c>
      <c r="J43" s="72">
        <f>I47</f>
        <v>3345.6800000000003</v>
      </c>
    </row>
    <row r="44" spans="2:12" ht="12.75">
      <c r="B44" s="11" t="s">
        <v>628</v>
      </c>
      <c r="C44" s="72">
        <f aca="true" t="shared" si="6" ref="C44:H44">C39</f>
        <v>166.1658217</v>
      </c>
      <c r="D44" s="72">
        <f t="shared" si="6"/>
        <v>144.23</v>
      </c>
      <c r="E44" s="72">
        <f t="shared" si="6"/>
        <v>206.09</v>
      </c>
      <c r="F44" s="72">
        <f t="shared" si="6"/>
        <v>142.72</v>
      </c>
      <c r="G44" s="359">
        <f t="shared" si="6"/>
        <v>188.48</v>
      </c>
      <c r="H44" s="72">
        <f t="shared" si="6"/>
        <v>76.82000000000001</v>
      </c>
      <c r="I44" s="72">
        <f>I39</f>
        <v>416.57</v>
      </c>
      <c r="J44" s="72">
        <f>J39</f>
        <v>444.52</v>
      </c>
      <c r="L44" s="157"/>
    </row>
    <row r="45" spans="2:10" ht="12.75">
      <c r="B45" s="11" t="s">
        <v>891</v>
      </c>
      <c r="C45" s="58">
        <v>0</v>
      </c>
      <c r="D45" s="58">
        <v>0</v>
      </c>
      <c r="E45" s="58">
        <v>0</v>
      </c>
      <c r="F45" s="72">
        <v>0</v>
      </c>
      <c r="G45" s="359">
        <v>0</v>
      </c>
      <c r="H45" s="72">
        <v>58.75</v>
      </c>
      <c r="I45" s="72">
        <v>0</v>
      </c>
      <c r="J45" s="72">
        <v>0</v>
      </c>
    </row>
    <row r="46" spans="2:10" ht="12.75">
      <c r="B46" s="11" t="s">
        <v>629</v>
      </c>
      <c r="C46" s="58">
        <f>0.0054119+7.2512009</f>
        <v>7.2566128</v>
      </c>
      <c r="D46" s="58">
        <v>0</v>
      </c>
      <c r="E46" s="58">
        <v>0</v>
      </c>
      <c r="F46" s="66">
        <v>0</v>
      </c>
      <c r="G46" s="361">
        <v>0</v>
      </c>
      <c r="H46" s="66">
        <v>0</v>
      </c>
      <c r="I46" s="66">
        <v>0</v>
      </c>
      <c r="J46" s="66">
        <v>0</v>
      </c>
    </row>
    <row r="47" spans="2:10" ht="12.75">
      <c r="B47" s="11" t="s">
        <v>1043</v>
      </c>
      <c r="C47" s="72">
        <f aca="true" t="shared" si="7" ref="C47:J47">C43+C44+C45-C46</f>
        <v>1922.1992088999998</v>
      </c>
      <c r="D47" s="72">
        <f t="shared" si="7"/>
        <v>2066.43</v>
      </c>
      <c r="E47" s="72">
        <f t="shared" si="7"/>
        <v>2272.52</v>
      </c>
      <c r="F47" s="72">
        <f t="shared" si="7"/>
        <v>2415.25</v>
      </c>
      <c r="G47" s="359">
        <f t="shared" si="7"/>
        <v>2603.7400000000002</v>
      </c>
      <c r="H47" s="72">
        <f t="shared" si="7"/>
        <v>2929.11</v>
      </c>
      <c r="I47" s="72">
        <f t="shared" si="7"/>
        <v>3345.6800000000003</v>
      </c>
      <c r="J47" s="72">
        <f t="shared" si="7"/>
        <v>3790.2000000000003</v>
      </c>
    </row>
    <row r="48" spans="2:10" ht="12.75">
      <c r="B48" s="11"/>
      <c r="C48" s="11"/>
      <c r="D48" s="11"/>
      <c r="E48" s="11"/>
      <c r="F48" s="66"/>
      <c r="G48" s="361"/>
      <c r="H48" s="66"/>
      <c r="I48" s="66"/>
      <c r="J48" s="66"/>
    </row>
    <row r="49" spans="1:10" ht="12.75">
      <c r="A49" s="62">
        <v>3</v>
      </c>
      <c r="B49" s="379" t="s">
        <v>1399</v>
      </c>
      <c r="C49" s="11"/>
      <c r="D49" s="11"/>
      <c r="E49" s="11"/>
      <c r="F49" s="66"/>
      <c r="G49" s="361"/>
      <c r="H49" s="66">
        <v>1.1</v>
      </c>
      <c r="I49" s="66"/>
      <c r="J49" s="66"/>
    </row>
    <row r="50" spans="2:10" ht="12.75">
      <c r="B50" s="11" t="s">
        <v>631</v>
      </c>
      <c r="C50" s="66">
        <f>C40+C47</f>
        <v>2782.1233872</v>
      </c>
      <c r="D50" s="66">
        <f>D40+D47</f>
        <v>2890.7599999999998</v>
      </c>
      <c r="E50" s="66">
        <f>E40+E47</f>
        <v>2994.66</v>
      </c>
      <c r="F50" s="66">
        <f>F40+F47</f>
        <v>3086.35</v>
      </c>
      <c r="G50" s="361">
        <f>G40+G47</f>
        <v>3179.8100000000004</v>
      </c>
      <c r="H50" s="66">
        <f>H40+H47+H49</f>
        <v>3632.2599999999998</v>
      </c>
      <c r="I50" s="66">
        <f>I40+I47</f>
        <v>4080.8005456875003</v>
      </c>
      <c r="J50" s="66">
        <f>J40+J47</f>
        <v>4763.691998062501</v>
      </c>
    </row>
    <row r="51" ht="12.75">
      <c r="B51" s="130"/>
    </row>
    <row r="52" spans="2:11" ht="12.75">
      <c r="B52" s="148" t="s">
        <v>382</v>
      </c>
      <c r="C52" s="159"/>
      <c r="E52" s="283">
        <v>94.67</v>
      </c>
      <c r="H52" s="262">
        <f>G25</f>
        <v>285.34000000000003</v>
      </c>
      <c r="I52" s="262">
        <f>H25</f>
        <v>209.62000000000003</v>
      </c>
      <c r="J52" s="283">
        <f>I25</f>
        <v>33.070545687500044</v>
      </c>
      <c r="K52" s="157"/>
    </row>
    <row r="53" spans="3:11" ht="12.75">
      <c r="C53" s="159"/>
      <c r="D53" s="160"/>
      <c r="H53" s="157"/>
      <c r="I53" s="157"/>
      <c r="J53" s="157"/>
      <c r="K53" s="157"/>
    </row>
    <row r="54" spans="1:3" ht="12.75">
      <c r="A54" s="62">
        <v>3</v>
      </c>
      <c r="B54" s="130" t="s">
        <v>355</v>
      </c>
      <c r="C54" s="159"/>
    </row>
    <row r="55" spans="2:8" ht="12.75">
      <c r="B55" s="148" t="s">
        <v>867</v>
      </c>
      <c r="C55" s="159"/>
      <c r="G55" s="351">
        <v>18.58</v>
      </c>
      <c r="H55" s="157">
        <f>H50-H32</f>
        <v>62.7199999999998</v>
      </c>
    </row>
    <row r="56" spans="2:10" ht="12.75">
      <c r="B56" s="148" t="s">
        <v>1305</v>
      </c>
      <c r="C56" s="159"/>
      <c r="G56" s="362">
        <v>291.38</v>
      </c>
      <c r="J56" s="62" t="s">
        <v>356</v>
      </c>
    </row>
    <row r="57" spans="2:14" ht="12.75">
      <c r="B57" s="148" t="s">
        <v>1324</v>
      </c>
      <c r="G57" s="363">
        <v>842.78</v>
      </c>
      <c r="K57" s="157"/>
      <c r="L57" s="157"/>
      <c r="M57" s="157"/>
      <c r="N57" s="157"/>
    </row>
    <row r="58" spans="2:14" ht="12.75">
      <c r="B58" s="130" t="s">
        <v>357</v>
      </c>
      <c r="G58" s="363">
        <v>211.64</v>
      </c>
      <c r="H58" s="62" t="s">
        <v>8</v>
      </c>
      <c r="I58" s="57" t="s">
        <v>174</v>
      </c>
      <c r="J58" s="57" t="s">
        <v>174</v>
      </c>
      <c r="K58" s="62" t="s">
        <v>54</v>
      </c>
      <c r="N58" s="157"/>
    </row>
    <row r="59" spans="2:14" ht="12.75">
      <c r="B59" s="153" t="s">
        <v>358</v>
      </c>
      <c r="C59" s="159"/>
      <c r="G59" s="363">
        <v>559.18</v>
      </c>
      <c r="H59" s="62" t="s">
        <v>378</v>
      </c>
      <c r="I59" s="62" t="s">
        <v>175</v>
      </c>
      <c r="J59" s="62" t="s">
        <v>175</v>
      </c>
      <c r="K59" s="296">
        <v>0.1075</v>
      </c>
      <c r="N59" s="157"/>
    </row>
    <row r="60" spans="2:7" ht="12.75">
      <c r="B60" s="148" t="s">
        <v>408</v>
      </c>
      <c r="G60" s="363">
        <f>G57+G58+G59</f>
        <v>1613.6</v>
      </c>
    </row>
    <row r="61" spans="2:10" ht="12.75">
      <c r="B61" s="148" t="s">
        <v>503</v>
      </c>
      <c r="G61" s="364" t="s">
        <v>274</v>
      </c>
      <c r="H61" s="130" t="s">
        <v>176</v>
      </c>
      <c r="I61" s="130" t="s">
        <v>867</v>
      </c>
      <c r="J61" s="130"/>
    </row>
    <row r="62" spans="2:9" ht="12.75">
      <c r="B62" s="148" t="s">
        <v>357</v>
      </c>
      <c r="G62" s="363">
        <v>1027.07</v>
      </c>
      <c r="H62" s="272">
        <v>1085.35</v>
      </c>
      <c r="I62" s="62">
        <v>1465.59</v>
      </c>
    </row>
    <row r="63" spans="2:9" ht="12.75">
      <c r="B63" s="148" t="s">
        <v>172</v>
      </c>
      <c r="G63" s="363">
        <v>285.67</v>
      </c>
      <c r="H63" s="62">
        <v>284.56</v>
      </c>
      <c r="I63" s="62">
        <v>232.83</v>
      </c>
    </row>
    <row r="64" spans="2:10" ht="12.75">
      <c r="B64" s="148" t="s">
        <v>173</v>
      </c>
      <c r="G64" s="362">
        <f>G62+G63</f>
        <v>1312.74</v>
      </c>
      <c r="H64" s="283">
        <f>H62+H63</f>
        <v>1369.9099999999999</v>
      </c>
      <c r="I64" s="283">
        <f>I62+I63</f>
        <v>1698.4199999999998</v>
      </c>
      <c r="J64" s="283"/>
    </row>
    <row r="65" spans="2:10" ht="12.75">
      <c r="B65" s="148" t="s">
        <v>1105</v>
      </c>
      <c r="G65" s="362">
        <v>403.49</v>
      </c>
      <c r="H65" s="283">
        <v>298.4</v>
      </c>
      <c r="I65" s="283">
        <v>193.31</v>
      </c>
      <c r="J65" s="283"/>
    </row>
    <row r="66" spans="1:10" ht="12.75">
      <c r="A66" s="62">
        <v>4</v>
      </c>
      <c r="B66" s="62" t="s">
        <v>359</v>
      </c>
      <c r="G66" s="363">
        <f>G67-G65</f>
        <v>909.25</v>
      </c>
      <c r="H66" s="272">
        <f>H67-H65</f>
        <v>1071.5099999999998</v>
      </c>
      <c r="I66" s="272">
        <f>I67-I65</f>
        <v>1505.11</v>
      </c>
      <c r="J66" s="272"/>
    </row>
    <row r="67" spans="2:10" ht="12.75">
      <c r="B67" s="62" t="s">
        <v>360</v>
      </c>
      <c r="G67" s="362">
        <f>G64</f>
        <v>1312.74</v>
      </c>
      <c r="H67" s="283">
        <f>H64</f>
        <v>1369.9099999999999</v>
      </c>
      <c r="I67" s="283">
        <f>I64</f>
        <v>1698.4199999999998</v>
      </c>
      <c r="J67" s="283"/>
    </row>
    <row r="68" spans="2:9" ht="12.75">
      <c r="B68" s="62" t="s">
        <v>947</v>
      </c>
      <c r="G68" s="363">
        <v>15.65</v>
      </c>
      <c r="H68" s="272">
        <v>53</v>
      </c>
      <c r="I68" s="62">
        <v>98.14</v>
      </c>
    </row>
    <row r="69" spans="2:9" ht="12.75">
      <c r="B69" s="62" t="s">
        <v>1105</v>
      </c>
      <c r="G69" s="363">
        <v>18.34</v>
      </c>
      <c r="H69" s="62">
        <v>22.97</v>
      </c>
      <c r="I69" s="62">
        <v>27.04</v>
      </c>
    </row>
    <row r="70" spans="2:9" ht="12.75">
      <c r="B70" s="62" t="s">
        <v>361</v>
      </c>
      <c r="G70" s="363">
        <v>500.8</v>
      </c>
      <c r="H70" s="62">
        <v>528.68</v>
      </c>
      <c r="I70" s="62">
        <v>865.12</v>
      </c>
    </row>
    <row r="71" spans="7:10" ht="12.75">
      <c r="G71" s="363">
        <f>G68+G69+G70</f>
        <v>534.79</v>
      </c>
      <c r="H71" s="272">
        <f>H68+H69+H70</f>
        <v>604.65</v>
      </c>
      <c r="I71" s="272">
        <f>I68+I69+I70</f>
        <v>990.3</v>
      </c>
      <c r="J71" s="272"/>
    </row>
    <row r="72" spans="2:9" ht="12.75">
      <c r="B72" s="62" t="s">
        <v>362</v>
      </c>
      <c r="G72" s="363">
        <v>6.25</v>
      </c>
      <c r="H72" s="272">
        <v>9.6</v>
      </c>
      <c r="I72" s="62">
        <v>10.66</v>
      </c>
    </row>
    <row r="73" spans="2:10" ht="12.75">
      <c r="B73" s="62" t="s">
        <v>363</v>
      </c>
      <c r="G73" s="362">
        <f>G71-G72</f>
        <v>528.54</v>
      </c>
      <c r="H73" s="283">
        <f>H71-H72-0.01</f>
        <v>595.04</v>
      </c>
      <c r="I73" s="283">
        <f>I71-I72</f>
        <v>979.64</v>
      </c>
      <c r="J73" s="283"/>
    </row>
    <row r="74" ht="12.75">
      <c r="G74" s="363">
        <v>0.96</v>
      </c>
    </row>
    <row r="75" spans="1:2" ht="12.75">
      <c r="A75" s="62">
        <v>5</v>
      </c>
      <c r="B75" s="62" t="s">
        <v>369</v>
      </c>
    </row>
    <row r="76" spans="2:7" ht="12.75">
      <c r="B76" s="62" t="s">
        <v>370</v>
      </c>
      <c r="G76" s="362"/>
    </row>
    <row r="77" ht="12.75">
      <c r="B77" s="62" t="s">
        <v>371</v>
      </c>
    </row>
    <row r="78" spans="2:9" ht="12.75">
      <c r="B78" s="62" t="s">
        <v>372</v>
      </c>
      <c r="G78" s="363">
        <v>500.8</v>
      </c>
      <c r="H78" s="62">
        <v>528.68</v>
      </c>
      <c r="I78" s="62">
        <v>865.12</v>
      </c>
    </row>
    <row r="79" spans="2:9" ht="12.75">
      <c r="B79" s="62" t="s">
        <v>373</v>
      </c>
      <c r="G79" s="351">
        <v>402.45</v>
      </c>
      <c r="H79" s="62">
        <v>419.23</v>
      </c>
      <c r="I79" s="62">
        <v>589.45</v>
      </c>
    </row>
    <row r="80" spans="7:9" ht="12.75">
      <c r="G80" s="351">
        <v>0.29</v>
      </c>
      <c r="H80" s="62">
        <v>0.5</v>
      </c>
      <c r="I80" s="62">
        <v>0.5</v>
      </c>
    </row>
    <row r="81" spans="2:9" ht="12.75">
      <c r="B81" s="62" t="s">
        <v>374</v>
      </c>
      <c r="G81" s="351">
        <f>G78-G79-G80</f>
        <v>98.06000000000002</v>
      </c>
      <c r="H81" s="62">
        <f>H78-H79-H80</f>
        <v>108.94999999999993</v>
      </c>
      <c r="I81" s="62">
        <f>I78-I79-I80</f>
        <v>275.16999999999996</v>
      </c>
    </row>
    <row r="82" ht="12.75">
      <c r="B82" s="62" t="s">
        <v>375</v>
      </c>
    </row>
    <row r="83" ht="12.75">
      <c r="B83" s="62" t="s">
        <v>376</v>
      </c>
    </row>
    <row r="84" spans="2:9" ht="12.75">
      <c r="B84" s="62" t="s">
        <v>216</v>
      </c>
      <c r="G84" s="351">
        <v>18.33</v>
      </c>
      <c r="H84" s="62">
        <v>22.92</v>
      </c>
      <c r="I84" s="62">
        <v>26.99</v>
      </c>
    </row>
    <row r="85" spans="2:9" ht="12.75">
      <c r="B85" s="62" t="s">
        <v>377</v>
      </c>
      <c r="G85" s="351">
        <v>0.39</v>
      </c>
      <c r="H85" s="272">
        <v>0.47</v>
      </c>
      <c r="I85" s="62">
        <v>0.56</v>
      </c>
    </row>
    <row r="86" spans="2:9" ht="12.75">
      <c r="B86" s="62" t="s">
        <v>373</v>
      </c>
      <c r="G86" s="351">
        <v>0.59</v>
      </c>
      <c r="H86" s="62">
        <v>0.89</v>
      </c>
      <c r="I86" s="62">
        <v>1.34</v>
      </c>
    </row>
    <row r="87" spans="7:9" ht="12.75">
      <c r="G87" s="351">
        <v>0.03</v>
      </c>
      <c r="H87" s="62">
        <v>0.04</v>
      </c>
      <c r="I87" s="62">
        <v>0.04</v>
      </c>
    </row>
    <row r="88" spans="1:9" ht="12.75">
      <c r="A88" s="62">
        <v>6</v>
      </c>
      <c r="B88" s="62" t="s">
        <v>170</v>
      </c>
      <c r="G88" s="351">
        <f>G84-G85-G86-G87</f>
        <v>17.319999999999997</v>
      </c>
      <c r="H88" s="62">
        <f>H84-H85-H86-H87</f>
        <v>21.520000000000003</v>
      </c>
      <c r="I88" s="62">
        <f>I84-I85-I86-I87</f>
        <v>25.05</v>
      </c>
    </row>
    <row r="89" ht="12.75">
      <c r="B89" s="62" t="s">
        <v>171</v>
      </c>
    </row>
    <row r="90" spans="2:10" ht="12.75">
      <c r="B90" s="62" t="s">
        <v>373</v>
      </c>
      <c r="G90" s="358">
        <f>'TRF-3'!K89</f>
        <v>66.06</v>
      </c>
      <c r="H90" s="157">
        <f>'TRF-3'!Q89</f>
        <v>93.71133476281999</v>
      </c>
      <c r="I90" s="157">
        <f>'TRF-3'!W89</f>
        <v>121.11156322388162</v>
      </c>
      <c r="J90" s="157">
        <f>'TRF-3'!X89</f>
        <v>0</v>
      </c>
    </row>
    <row r="91" spans="7:10" ht="12.75">
      <c r="G91" s="358">
        <f>'TRF-3'!K91</f>
        <v>8.22</v>
      </c>
      <c r="H91" s="157">
        <f>'TRF-3'!Q91</f>
        <v>2.1505456874999997</v>
      </c>
      <c r="I91" s="157">
        <f>'TRF-3'!W91</f>
        <v>5.481452374999999</v>
      </c>
      <c r="J91" s="157">
        <f>'TRF-3'!X91</f>
        <v>0</v>
      </c>
    </row>
    <row r="92" spans="1:10" ht="12.75">
      <c r="A92" s="62">
        <v>7</v>
      </c>
      <c r="B92" s="62" t="s">
        <v>380</v>
      </c>
      <c r="G92" s="358">
        <f>G90-G91</f>
        <v>57.84</v>
      </c>
      <c r="H92" s="157">
        <f>H90-H91</f>
        <v>91.56078907531999</v>
      </c>
      <c r="I92" s="157">
        <f>I90-I91</f>
        <v>115.63011084888161</v>
      </c>
      <c r="J92" s="157">
        <f>J90-J91</f>
        <v>0</v>
      </c>
    </row>
    <row r="93" ht="12.75">
      <c r="B93" s="62" t="s">
        <v>187</v>
      </c>
    </row>
    <row r="94" spans="2:9" ht="27.75" customHeight="1">
      <c r="B94" s="316" t="s">
        <v>55</v>
      </c>
      <c r="G94" s="364" t="s">
        <v>188</v>
      </c>
      <c r="H94" s="130" t="s">
        <v>1266</v>
      </c>
      <c r="I94" s="130" t="s">
        <v>1267</v>
      </c>
    </row>
    <row r="95" spans="2:9" ht="12.75">
      <c r="B95" s="62" t="s">
        <v>381</v>
      </c>
      <c r="G95" s="363">
        <f>G62</f>
        <v>1027.07</v>
      </c>
      <c r="H95" s="272">
        <v>1035.83</v>
      </c>
      <c r="I95" s="272">
        <v>1423.37</v>
      </c>
    </row>
    <row r="96" spans="2:9" ht="12.75">
      <c r="B96" s="62" t="s">
        <v>189</v>
      </c>
      <c r="G96" s="363">
        <f>G95*0.1</f>
        <v>102.707</v>
      </c>
      <c r="H96" s="272">
        <v>146.06</v>
      </c>
      <c r="I96" s="272">
        <v>171.64</v>
      </c>
    </row>
    <row r="97" spans="7:9" ht="12.75">
      <c r="G97" s="351">
        <v>109.49</v>
      </c>
      <c r="H97" s="62">
        <v>124.46</v>
      </c>
      <c r="I97" s="272">
        <v>153.31</v>
      </c>
    </row>
    <row r="98" spans="1:9" ht="12.75">
      <c r="A98" s="62">
        <v>8</v>
      </c>
      <c r="B98" s="62" t="s">
        <v>190</v>
      </c>
      <c r="G98" s="362">
        <f>G96-G97</f>
        <v>-6.783000000000001</v>
      </c>
      <c r="H98" s="283">
        <f>H96-H97</f>
        <v>21.60000000000001</v>
      </c>
      <c r="I98" s="283">
        <f>I96-I97</f>
        <v>18.329999999999984</v>
      </c>
    </row>
    <row r="100" ht="12.75">
      <c r="H100" s="480" t="s">
        <v>867</v>
      </c>
    </row>
    <row r="101" spans="7:8" ht="12.75">
      <c r="G101" s="351" t="s">
        <v>549</v>
      </c>
      <c r="H101" s="62">
        <v>70.31</v>
      </c>
    </row>
    <row r="102" spans="7:8" ht="12.75">
      <c r="G102" s="351" t="s">
        <v>56</v>
      </c>
      <c r="H102" s="272">
        <f>H101*0.03</f>
        <v>2.1093</v>
      </c>
    </row>
    <row r="103" spans="7:9" ht="12.75">
      <c r="G103" s="351" t="s">
        <v>191</v>
      </c>
      <c r="H103" s="272">
        <v>3.91</v>
      </c>
      <c r="I103" s="62" t="s">
        <v>57</v>
      </c>
    </row>
    <row r="104" spans="2:8" ht="12.75">
      <c r="B104" s="62" t="s">
        <v>192</v>
      </c>
      <c r="G104" s="351" t="s">
        <v>1105</v>
      </c>
      <c r="H104" s="272">
        <f>H101+H102+H103</f>
        <v>76.3293</v>
      </c>
    </row>
    <row r="105" ht="12.75">
      <c r="H105" s="272"/>
    </row>
    <row r="106" spans="1:9" ht="18">
      <c r="A106" s="315">
        <v>9</v>
      </c>
      <c r="B106" s="323" t="s">
        <v>105</v>
      </c>
      <c r="C106" s="315"/>
      <c r="H106" s="272" t="s">
        <v>58</v>
      </c>
      <c r="I106" s="62" t="s">
        <v>59</v>
      </c>
    </row>
    <row r="107" spans="1:8" ht="109.5" customHeight="1">
      <c r="A107" s="315"/>
      <c r="B107" s="315" t="s">
        <v>1114</v>
      </c>
      <c r="C107" s="315"/>
      <c r="H107" s="272"/>
    </row>
    <row r="108" spans="1:10" ht="18">
      <c r="A108" s="315"/>
      <c r="B108" s="325">
        <v>1</v>
      </c>
      <c r="C108" s="315"/>
      <c r="G108" s="365"/>
      <c r="H108" s="315"/>
      <c r="I108" s="315"/>
      <c r="J108" s="315" t="s">
        <v>1131</v>
      </c>
    </row>
    <row r="109" spans="1:15" ht="144">
      <c r="A109" s="315">
        <v>1</v>
      </c>
      <c r="B109" s="315" t="s">
        <v>107</v>
      </c>
      <c r="C109" s="315"/>
      <c r="G109" s="366" t="s">
        <v>910</v>
      </c>
      <c r="H109" s="324" t="s">
        <v>499</v>
      </c>
      <c r="I109" s="324" t="s">
        <v>500</v>
      </c>
      <c r="J109" s="324" t="s">
        <v>434</v>
      </c>
      <c r="L109" s="324" t="s">
        <v>435</v>
      </c>
      <c r="M109" s="324" t="s">
        <v>273</v>
      </c>
      <c r="N109" s="324" t="s">
        <v>272</v>
      </c>
      <c r="O109" s="316" t="s">
        <v>106</v>
      </c>
    </row>
    <row r="110" spans="1:14" ht="18">
      <c r="A110" s="315">
        <v>2</v>
      </c>
      <c r="B110" s="315" t="s">
        <v>909</v>
      </c>
      <c r="C110" s="315"/>
      <c r="G110" s="367">
        <v>2</v>
      </c>
      <c r="H110" s="325">
        <v>3</v>
      </c>
      <c r="I110" s="325">
        <v>4</v>
      </c>
      <c r="J110" s="325">
        <v>5</v>
      </c>
      <c r="M110" s="325">
        <v>7</v>
      </c>
      <c r="N110" s="325">
        <v>8</v>
      </c>
    </row>
    <row r="111" spans="1:15" ht="18">
      <c r="A111" s="315">
        <v>3</v>
      </c>
      <c r="B111" s="315" t="s">
        <v>579</v>
      </c>
      <c r="C111" s="315"/>
      <c r="G111" s="365">
        <v>241.95</v>
      </c>
      <c r="H111" s="315">
        <v>480.84</v>
      </c>
      <c r="I111" s="481">
        <v>509.01</v>
      </c>
      <c r="J111" s="272">
        <f>I111-G111</f>
        <v>267.06</v>
      </c>
      <c r="L111" s="62">
        <f>H111-G111</f>
        <v>238.89</v>
      </c>
      <c r="M111" s="272" t="e">
        <f>H111-#REF!</f>
        <v>#REF!</v>
      </c>
      <c r="O111" s="62">
        <v>814.23</v>
      </c>
    </row>
    <row r="112" spans="1:13" ht="18">
      <c r="A112" s="315">
        <v>4</v>
      </c>
      <c r="B112" s="315" t="s">
        <v>108</v>
      </c>
      <c r="C112" s="315"/>
      <c r="G112" s="365">
        <v>390.32</v>
      </c>
      <c r="H112" s="315">
        <v>783.4</v>
      </c>
      <c r="I112" s="315">
        <v>808.48</v>
      </c>
      <c r="J112" s="272">
        <f>I112-G112</f>
        <v>418.16</v>
      </c>
      <c r="L112" s="62">
        <f>H112-G112</f>
        <v>393.08</v>
      </c>
      <c r="M112" s="272" t="e">
        <f>H112-#REF!</f>
        <v>#REF!</v>
      </c>
    </row>
    <row r="113" spans="1:15" ht="18">
      <c r="A113" s="315">
        <v>5</v>
      </c>
      <c r="B113" s="315" t="s">
        <v>1105</v>
      </c>
      <c r="C113" s="315"/>
      <c r="G113" s="365">
        <v>31.66</v>
      </c>
      <c r="H113" s="481">
        <v>69.21</v>
      </c>
      <c r="I113" s="481">
        <v>73.88</v>
      </c>
      <c r="J113" s="272">
        <f>I113-G113</f>
        <v>42.22</v>
      </c>
      <c r="L113" s="62">
        <f>H113-G113</f>
        <v>37.55</v>
      </c>
      <c r="M113" s="272" t="e">
        <f>H113-#REF!</f>
        <v>#REF!</v>
      </c>
      <c r="O113" s="62">
        <v>56.74</v>
      </c>
    </row>
    <row r="114" spans="1:15" ht="18">
      <c r="A114" s="315">
        <v>6</v>
      </c>
      <c r="B114" s="315" t="s">
        <v>580</v>
      </c>
      <c r="C114" s="315"/>
      <c r="G114" s="365">
        <v>38.72</v>
      </c>
      <c r="H114" s="315">
        <v>64.3</v>
      </c>
      <c r="I114" s="315">
        <v>66.62</v>
      </c>
      <c r="J114" s="272">
        <f>I114-G114</f>
        <v>27.900000000000006</v>
      </c>
      <c r="L114" s="62">
        <f>H114-G114</f>
        <v>25.58</v>
      </c>
      <c r="M114" s="272" t="e">
        <f>H114-#REF!</f>
        <v>#REF!</v>
      </c>
      <c r="O114" s="62">
        <v>56.51</v>
      </c>
    </row>
    <row r="115" spans="1:15" ht="26.25" customHeight="1">
      <c r="A115" s="315">
        <v>7</v>
      </c>
      <c r="B115" s="335"/>
      <c r="C115" s="315"/>
      <c r="G115" s="365">
        <f aca="true" t="shared" si="8" ref="G115:M115">G111+G112+G113+G114</f>
        <v>702.65</v>
      </c>
      <c r="H115" s="315">
        <f t="shared" si="8"/>
        <v>1397.75</v>
      </c>
      <c r="I115" s="481">
        <f t="shared" si="8"/>
        <v>1457.9899999999998</v>
      </c>
      <c r="J115" s="315">
        <f t="shared" si="8"/>
        <v>755.34</v>
      </c>
      <c r="K115" s="315">
        <f t="shared" si="8"/>
        <v>0</v>
      </c>
      <c r="L115" s="315">
        <f t="shared" si="8"/>
        <v>695.1</v>
      </c>
      <c r="M115" s="315" t="e">
        <f t="shared" si="8"/>
        <v>#REF!</v>
      </c>
      <c r="O115" s="130">
        <f>O111+O113+O114</f>
        <v>927.48</v>
      </c>
    </row>
    <row r="116" spans="1:15" ht="17.25" customHeight="1">
      <c r="A116" s="315">
        <v>8</v>
      </c>
      <c r="B116" s="324" t="s">
        <v>1133</v>
      </c>
      <c r="C116" s="315"/>
      <c r="G116" s="365"/>
      <c r="H116" s="315"/>
      <c r="I116" s="481"/>
      <c r="J116" s="315">
        <v>0.5</v>
      </c>
      <c r="L116" s="62">
        <v>0.5</v>
      </c>
      <c r="M116" s="315"/>
      <c r="O116" s="130"/>
    </row>
    <row r="117" spans="1:14" ht="18">
      <c r="A117" s="315">
        <v>9</v>
      </c>
      <c r="B117" s="315" t="s">
        <v>1132</v>
      </c>
      <c r="G117" s="365"/>
      <c r="H117" s="315"/>
      <c r="I117" s="315"/>
      <c r="J117" s="62">
        <v>0</v>
      </c>
      <c r="M117" s="62">
        <v>65.43</v>
      </c>
      <c r="N117" s="130"/>
    </row>
    <row r="118" spans="1:14" ht="18">
      <c r="A118" s="315">
        <v>10</v>
      </c>
      <c r="B118" s="315" t="s">
        <v>501</v>
      </c>
      <c r="G118" s="365"/>
      <c r="H118" s="315"/>
      <c r="I118" s="315"/>
      <c r="J118" s="272">
        <f>J115+J116+J117</f>
        <v>755.84</v>
      </c>
      <c r="L118" s="62">
        <f>L115+L116</f>
        <v>695.6</v>
      </c>
      <c r="M118" s="62" t="e">
        <f>M115+M117</f>
        <v>#REF!</v>
      </c>
      <c r="N118" s="130"/>
    </row>
    <row r="119" spans="1:14" ht="18">
      <c r="A119" s="315">
        <v>11</v>
      </c>
      <c r="B119" s="315" t="s">
        <v>502</v>
      </c>
      <c r="J119" s="315">
        <v>29.33</v>
      </c>
      <c r="L119" s="62">
        <v>29.33</v>
      </c>
      <c r="N119" s="130"/>
    </row>
    <row r="120" spans="10:14" ht="18">
      <c r="J120" s="481">
        <f>140.2-43.88</f>
        <v>96.32</v>
      </c>
      <c r="L120" s="62">
        <v>140.2</v>
      </c>
      <c r="N120" s="130"/>
    </row>
    <row r="121" spans="2:14" ht="18">
      <c r="B121" s="62" t="s">
        <v>1134</v>
      </c>
      <c r="H121" s="272"/>
      <c r="J121" s="482">
        <f>J118-J119-J120</f>
        <v>630.19</v>
      </c>
      <c r="L121" s="62">
        <f>L118-L119-L120</f>
        <v>526.0699999999999</v>
      </c>
      <c r="N121" s="130"/>
    </row>
    <row r="122" spans="2:11" ht="12.75">
      <c r="B122" s="62" t="s">
        <v>1135</v>
      </c>
      <c r="K122" s="130"/>
    </row>
    <row r="123" ht="12.75">
      <c r="K123" s="130"/>
    </row>
    <row r="124" ht="12.75">
      <c r="K124" s="130"/>
    </row>
    <row r="125" ht="12.75">
      <c r="K125" s="130"/>
    </row>
    <row r="126" ht="12.75">
      <c r="K126" s="130"/>
    </row>
    <row r="127" ht="12.75">
      <c r="K127" s="130"/>
    </row>
    <row r="128" ht="12.75">
      <c r="K128" s="130"/>
    </row>
    <row r="129" spans="2:11" ht="12.75">
      <c r="B129" s="62" t="s">
        <v>113</v>
      </c>
      <c r="E129" s="62">
        <v>702.65</v>
      </c>
      <c r="F129" s="62">
        <v>843.03</v>
      </c>
      <c r="G129" s="351">
        <v>843.03</v>
      </c>
      <c r="K129" s="62">
        <v>883.79</v>
      </c>
    </row>
    <row r="130" spans="2:11" ht="12.75">
      <c r="B130" s="62" t="s">
        <v>109</v>
      </c>
      <c r="E130" s="62">
        <f>H115-E129</f>
        <v>695.1</v>
      </c>
      <c r="F130" s="62">
        <f>I115-F129</f>
        <v>614.9599999999998</v>
      </c>
      <c r="G130" s="351" t="e">
        <f>#REF!-G129</f>
        <v>#REF!</v>
      </c>
      <c r="K130" s="130">
        <f>O115-K129</f>
        <v>43.690000000000055</v>
      </c>
    </row>
    <row r="132" spans="6:7" ht="12.75">
      <c r="F132" s="62" t="s">
        <v>112</v>
      </c>
      <c r="G132" s="351" t="s">
        <v>112</v>
      </c>
    </row>
    <row r="133" spans="1:7" ht="12.75">
      <c r="A133" s="127" t="s">
        <v>197</v>
      </c>
      <c r="B133" s="62" t="s">
        <v>110</v>
      </c>
      <c r="F133" s="62">
        <v>131.63</v>
      </c>
      <c r="G133" s="351">
        <v>131.63</v>
      </c>
    </row>
    <row r="134" spans="1:7" ht="12.75">
      <c r="A134" s="127" t="s">
        <v>198</v>
      </c>
      <c r="B134" s="62" t="s">
        <v>111</v>
      </c>
      <c r="F134" s="272">
        <f>131.63/3</f>
        <v>43.876666666666665</v>
      </c>
      <c r="G134" s="363">
        <f>131.63/3</f>
        <v>43.876666666666665</v>
      </c>
    </row>
    <row r="135" spans="1:7" ht="12.75">
      <c r="A135" s="127" t="s">
        <v>199</v>
      </c>
      <c r="B135" s="62" t="s">
        <v>114</v>
      </c>
      <c r="F135" s="62">
        <v>3.73</v>
      </c>
      <c r="G135" s="351">
        <v>3.73</v>
      </c>
    </row>
    <row r="137" spans="2:7" ht="12.75">
      <c r="B137" s="62" t="s">
        <v>116</v>
      </c>
      <c r="F137" s="62">
        <v>843.03</v>
      </c>
      <c r="G137" s="351">
        <v>843.03</v>
      </c>
    </row>
    <row r="138" spans="2:7" ht="12.75">
      <c r="B138" s="62" t="s">
        <v>115</v>
      </c>
      <c r="F138" s="62">
        <v>702.65</v>
      </c>
      <c r="G138" s="351">
        <v>702.65</v>
      </c>
    </row>
    <row r="139" spans="2:7" ht="12.75">
      <c r="B139" s="62" t="s">
        <v>117</v>
      </c>
      <c r="F139" s="62">
        <f>F137-F138</f>
        <v>140.38</v>
      </c>
      <c r="G139" s="351">
        <f>G137-G138</f>
        <v>140.38</v>
      </c>
    </row>
    <row r="141" ht="12.75">
      <c r="B141" s="62" t="s">
        <v>193</v>
      </c>
    </row>
    <row r="142" spans="2:7" ht="12.75">
      <c r="B142" s="62" t="s">
        <v>578</v>
      </c>
      <c r="F142" s="62">
        <v>118.79</v>
      </c>
      <c r="G142" s="351">
        <v>118.79</v>
      </c>
    </row>
    <row r="143" spans="2:7" ht="12.75">
      <c r="B143" s="62" t="s">
        <v>580</v>
      </c>
      <c r="F143" s="62">
        <v>0.05</v>
      </c>
      <c r="G143" s="351">
        <v>0.05</v>
      </c>
    </row>
    <row r="144" spans="2:7" ht="12.75">
      <c r="B144" s="62" t="s">
        <v>579</v>
      </c>
      <c r="F144" s="62">
        <v>13.48</v>
      </c>
      <c r="G144" s="351">
        <v>13.48</v>
      </c>
    </row>
    <row r="145" spans="2:7" ht="12.75">
      <c r="B145" s="62" t="s">
        <v>118</v>
      </c>
      <c r="F145" s="62">
        <v>55.67</v>
      </c>
      <c r="G145" s="351">
        <v>55.67</v>
      </c>
    </row>
    <row r="146" spans="2:7" ht="12.75">
      <c r="B146" s="62" t="s">
        <v>1105</v>
      </c>
      <c r="F146" s="130">
        <f>F142+F143+F144+F145</f>
        <v>187.99</v>
      </c>
      <c r="G146" s="364">
        <f>G142+G143+G144+G145</f>
        <v>187.99</v>
      </c>
    </row>
    <row r="149" spans="2:7" ht="28.5" customHeight="1">
      <c r="B149" s="62" t="s">
        <v>194</v>
      </c>
      <c r="D149" s="127" t="s">
        <v>1285</v>
      </c>
      <c r="E149" s="316" t="s">
        <v>195</v>
      </c>
      <c r="F149" s="127" t="s">
        <v>196</v>
      </c>
      <c r="G149" s="368" t="s">
        <v>196</v>
      </c>
    </row>
    <row r="150" spans="2:7" ht="12.75">
      <c r="B150" s="62" t="s">
        <v>578</v>
      </c>
      <c r="D150" s="62">
        <v>632.27</v>
      </c>
      <c r="E150" s="62">
        <v>751.06</v>
      </c>
      <c r="F150" s="62">
        <f aca="true" t="shared" si="9" ref="F150:G152">E150-D150</f>
        <v>118.78999999999996</v>
      </c>
      <c r="G150" s="351">
        <f t="shared" si="9"/>
        <v>-632.27</v>
      </c>
    </row>
    <row r="151" spans="2:7" ht="12.75">
      <c r="B151" s="62" t="s">
        <v>579</v>
      </c>
      <c r="D151" s="62">
        <v>31.66</v>
      </c>
      <c r="E151" s="62">
        <v>45.14</v>
      </c>
      <c r="F151" s="62">
        <f t="shared" si="9"/>
        <v>13.48</v>
      </c>
      <c r="G151" s="351">
        <f t="shared" si="9"/>
        <v>-31.66</v>
      </c>
    </row>
    <row r="152" spans="2:7" ht="12.75">
      <c r="B152" s="62" t="s">
        <v>108</v>
      </c>
      <c r="D152" s="62">
        <v>38.72</v>
      </c>
      <c r="E152" s="62">
        <v>46.83</v>
      </c>
      <c r="F152" s="62">
        <f t="shared" si="9"/>
        <v>8.11</v>
      </c>
      <c r="G152" s="351">
        <f t="shared" si="9"/>
        <v>-38.72</v>
      </c>
    </row>
    <row r="153" spans="2:7" ht="12.75">
      <c r="B153" s="62" t="s">
        <v>1105</v>
      </c>
      <c r="D153" s="62">
        <f>D150+D151+D152</f>
        <v>702.65</v>
      </c>
      <c r="E153" s="62">
        <f>E150+E151+E152</f>
        <v>843.03</v>
      </c>
      <c r="F153" s="62">
        <f>F150+F151+F152</f>
        <v>140.37999999999994</v>
      </c>
      <c r="G153" s="351">
        <f>G150+G151+G152</f>
        <v>-702.65</v>
      </c>
    </row>
    <row r="156" ht="12.75">
      <c r="E156" s="62" t="s">
        <v>169</v>
      </c>
    </row>
    <row r="157" spans="1:7" ht="12.75">
      <c r="A157" s="62">
        <v>8</v>
      </c>
      <c r="B157" s="62" t="s">
        <v>200</v>
      </c>
      <c r="D157" s="272">
        <v>117.8</v>
      </c>
      <c r="E157" s="62">
        <v>133.16</v>
      </c>
      <c r="F157" s="62">
        <v>155.59</v>
      </c>
      <c r="G157" s="351">
        <v>155.59</v>
      </c>
    </row>
    <row r="158" spans="2:7" ht="12.75">
      <c r="B158" s="62" t="s">
        <v>201</v>
      </c>
      <c r="D158" s="62">
        <v>112.22</v>
      </c>
      <c r="E158" s="62">
        <v>54.88</v>
      </c>
      <c r="F158" s="62">
        <v>65.11</v>
      </c>
      <c r="G158" s="351">
        <v>65.11</v>
      </c>
    </row>
    <row r="159" spans="2:7" ht="12.75">
      <c r="B159" s="62" t="s">
        <v>364</v>
      </c>
      <c r="D159" s="272">
        <f>D157-D158</f>
        <v>5.579999999999998</v>
      </c>
      <c r="E159" s="272">
        <f>E157-E158</f>
        <v>78.28</v>
      </c>
      <c r="F159" s="272">
        <f>F157-F158</f>
        <v>90.48</v>
      </c>
      <c r="G159" s="363">
        <f>G157-G158</f>
        <v>90.48</v>
      </c>
    </row>
    <row r="161" ht="12.75">
      <c r="B161" s="62" t="s">
        <v>202</v>
      </c>
    </row>
    <row r="163" spans="2:7" ht="15.75">
      <c r="B163" s="321" t="s">
        <v>203</v>
      </c>
      <c r="F163" s="73">
        <v>65.11</v>
      </c>
      <c r="G163" s="369">
        <v>65.11</v>
      </c>
    </row>
    <row r="164" spans="2:7" ht="14.25">
      <c r="B164" s="321" t="s">
        <v>206</v>
      </c>
      <c r="F164" s="322">
        <v>61.62</v>
      </c>
      <c r="G164" s="370">
        <v>61.62</v>
      </c>
    </row>
    <row r="165" spans="2:7" ht="14.25">
      <c r="B165" s="321" t="s">
        <v>207</v>
      </c>
      <c r="F165" s="322">
        <v>51.98</v>
      </c>
      <c r="G165" s="370">
        <v>51.98</v>
      </c>
    </row>
    <row r="166" spans="2:7" ht="14.25">
      <c r="B166" s="322" t="s">
        <v>208</v>
      </c>
      <c r="F166" s="322">
        <v>92.41</v>
      </c>
      <c r="G166" s="370">
        <v>92.41</v>
      </c>
    </row>
  </sheetData>
  <sheetProtection/>
  <mergeCells count="1">
    <mergeCell ref="A4:E4"/>
  </mergeCells>
  <printOptions gridLines="1" horizontalCentered="1"/>
  <pageMargins left="0.26" right="0.26" top="0.32" bottom="0.17" header="0.31" footer="0.17"/>
  <pageSetup horizontalDpi="600" verticalDpi="600" orientation="portrait" paperSize="9" scale="95" r:id="rId1"/>
  <headerFooter alignWithMargins="0">
    <oddFooter>&amp;L&amp;F-&amp;A&amp;Cpage&amp;P of &amp;P&amp;R&amp;D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U183"/>
  <sheetViews>
    <sheetView tabSelected="1" zoomScalePageLayoutView="0" workbookViewId="0" topLeftCell="H1">
      <pane ySplit="8" topLeftCell="A16" activePane="bottomLeft" state="frozen"/>
      <selection pane="topLeft" activeCell="C1" sqref="C1"/>
      <selection pane="bottomLeft" activeCell="I161" sqref="I161"/>
    </sheetView>
  </sheetViews>
  <sheetFormatPr defaultColWidth="11.57421875" defaultRowHeight="12.75"/>
  <cols>
    <col min="1" max="1" width="5.57421875" style="499" customWidth="1"/>
    <col min="2" max="2" width="57.140625" style="387" customWidth="1"/>
    <col min="3" max="3" width="6.140625" style="387" customWidth="1"/>
    <col min="4" max="4" width="8.57421875" style="387" customWidth="1"/>
    <col min="5" max="5" width="9.8515625" style="387" customWidth="1"/>
    <col min="6" max="6" width="10.00390625" style="387" customWidth="1"/>
    <col min="7" max="7" width="8.7109375" style="387" customWidth="1"/>
    <col min="8" max="8" width="11.00390625" style="387" customWidth="1"/>
    <col min="9" max="9" width="8.28125" style="387" customWidth="1"/>
    <col min="10" max="10" width="10.28125" style="387" customWidth="1"/>
    <col min="11" max="11" width="9.00390625" style="387" customWidth="1"/>
    <col min="12" max="13" width="8.8515625" style="387" customWidth="1"/>
    <col min="14" max="14" width="8.00390625" style="387" customWidth="1"/>
    <col min="15" max="15" width="10.7109375" style="387" customWidth="1"/>
    <col min="16" max="16" width="9.7109375" style="387" customWidth="1"/>
    <col min="17" max="17" width="8.00390625" style="387" customWidth="1"/>
    <col min="18" max="19" width="9.28125" style="387" customWidth="1"/>
    <col min="20" max="20" width="9.7109375" style="387" customWidth="1"/>
    <col min="21" max="21" width="14.00390625" style="387" customWidth="1"/>
    <col min="22" max="28" width="9.28125" style="387" customWidth="1"/>
    <col min="29" max="29" width="11.7109375" style="387" customWidth="1"/>
    <col min="30" max="30" width="12.00390625" style="387" customWidth="1"/>
    <col min="31" max="254" width="9.28125" style="387" customWidth="1"/>
    <col min="255" max="16384" width="11.57421875" style="387" customWidth="1"/>
  </cols>
  <sheetData>
    <row r="1" spans="1:255" s="472" customFormat="1" ht="15">
      <c r="A1" s="500" t="s">
        <v>459</v>
      </c>
      <c r="B1" s="483"/>
      <c r="C1" s="483"/>
      <c r="D1" s="393"/>
      <c r="E1" s="484"/>
      <c r="F1" s="484"/>
      <c r="G1" s="483"/>
      <c r="H1" s="483"/>
      <c r="I1" s="483"/>
      <c r="J1" s="483"/>
      <c r="K1" s="470"/>
      <c r="L1" s="483"/>
      <c r="M1" s="471" t="s">
        <v>1301</v>
      </c>
      <c r="N1" s="483"/>
      <c r="O1" s="483"/>
      <c r="P1" s="483"/>
      <c r="Q1" s="483"/>
      <c r="R1" s="483"/>
      <c r="IU1" s="387"/>
    </row>
    <row r="2" spans="1:18" ht="15">
      <c r="A2" s="446"/>
      <c r="B2" s="406" t="s">
        <v>673</v>
      </c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  <c r="Q2" s="382"/>
      <c r="R2" s="382"/>
    </row>
    <row r="3" spans="1:18" ht="15">
      <c r="A3" s="390"/>
      <c r="B3" s="501" t="s">
        <v>1350</v>
      </c>
      <c r="C3" s="501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406" t="s">
        <v>598</v>
      </c>
      <c r="P3" s="382"/>
      <c r="Q3" s="382"/>
      <c r="R3" s="382"/>
    </row>
    <row r="4" spans="1:18" ht="15">
      <c r="A4" s="390"/>
      <c r="B4" s="501" t="s">
        <v>280</v>
      </c>
      <c r="C4" s="501"/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382"/>
      <c r="O4" s="382"/>
      <c r="P4" s="382"/>
      <c r="Q4" s="382"/>
      <c r="R4" s="382"/>
    </row>
    <row r="5" spans="1:18" ht="15">
      <c r="A5" s="390"/>
      <c r="B5" s="501" t="s">
        <v>1352</v>
      </c>
      <c r="C5" s="501"/>
      <c r="D5" s="382"/>
      <c r="E5" s="382"/>
      <c r="F5" s="382"/>
      <c r="G5" s="382"/>
      <c r="H5" s="382"/>
      <c r="I5" s="382"/>
      <c r="J5" s="382"/>
      <c r="K5" s="382"/>
      <c r="L5" s="382"/>
      <c r="M5" s="382"/>
      <c r="N5" s="382"/>
      <c r="O5" s="382"/>
      <c r="P5" s="382"/>
      <c r="Q5" s="382"/>
      <c r="R5" s="382"/>
    </row>
    <row r="6" spans="1:255" s="487" customFormat="1" ht="24.75" customHeight="1">
      <c r="A6" s="485" t="s">
        <v>674</v>
      </c>
      <c r="B6" s="486" t="s">
        <v>964</v>
      </c>
      <c r="C6" s="486"/>
      <c r="D6" s="556" t="s">
        <v>281</v>
      </c>
      <c r="E6" s="556"/>
      <c r="F6" s="556"/>
      <c r="G6" s="556"/>
      <c r="H6" s="556"/>
      <c r="I6" s="556" t="s">
        <v>282</v>
      </c>
      <c r="J6" s="556"/>
      <c r="K6" s="556"/>
      <c r="L6" s="556"/>
      <c r="M6" s="556"/>
      <c r="N6" s="556"/>
      <c r="O6" s="556" t="s">
        <v>283</v>
      </c>
      <c r="P6" s="556"/>
      <c r="Q6" s="556"/>
      <c r="R6" s="556"/>
      <c r="IU6" s="387"/>
    </row>
    <row r="7" spans="1:255" s="487" customFormat="1" ht="54">
      <c r="A7" s="488"/>
      <c r="B7" s="489" t="s">
        <v>1080</v>
      </c>
      <c r="C7" s="490" t="s">
        <v>547</v>
      </c>
      <c r="D7" s="491" t="s">
        <v>886</v>
      </c>
      <c r="E7" s="492" t="s">
        <v>719</v>
      </c>
      <c r="F7" s="492" t="s">
        <v>720</v>
      </c>
      <c r="G7" s="492" t="s">
        <v>733</v>
      </c>
      <c r="H7" s="492" t="s">
        <v>284</v>
      </c>
      <c r="I7" s="557" t="s">
        <v>285</v>
      </c>
      <c r="J7" s="557"/>
      <c r="K7" s="557"/>
      <c r="L7" s="492" t="s">
        <v>720</v>
      </c>
      <c r="M7" s="492" t="s">
        <v>733</v>
      </c>
      <c r="N7" s="492" t="s">
        <v>1255</v>
      </c>
      <c r="O7" s="492" t="s">
        <v>1342</v>
      </c>
      <c r="P7" s="492" t="s">
        <v>720</v>
      </c>
      <c r="Q7" s="492" t="s">
        <v>733</v>
      </c>
      <c r="R7" s="492" t="s">
        <v>1255</v>
      </c>
      <c r="IU7" s="387"/>
    </row>
    <row r="8" spans="1:255" s="487" customFormat="1" ht="51">
      <c r="A8" s="485" t="s">
        <v>1285</v>
      </c>
      <c r="B8" s="491" t="s">
        <v>1343</v>
      </c>
      <c r="C8" s="491"/>
      <c r="D8" s="491"/>
      <c r="E8" s="491"/>
      <c r="F8" s="491"/>
      <c r="G8" s="491"/>
      <c r="H8" s="491"/>
      <c r="I8" s="493" t="s">
        <v>448</v>
      </c>
      <c r="J8" s="493" t="s">
        <v>449</v>
      </c>
      <c r="K8" s="493" t="s">
        <v>1105</v>
      </c>
      <c r="L8" s="491"/>
      <c r="M8" s="491"/>
      <c r="N8" s="491"/>
      <c r="O8" s="491"/>
      <c r="P8" s="491"/>
      <c r="Q8" s="491"/>
      <c r="R8" s="491"/>
      <c r="IU8" s="387"/>
    </row>
    <row r="9" spans="1:255" s="487" customFormat="1" ht="42.75">
      <c r="A9" s="494">
        <v>1</v>
      </c>
      <c r="B9" s="494">
        <v>2</v>
      </c>
      <c r="C9" s="494"/>
      <c r="D9" s="494">
        <v>3</v>
      </c>
      <c r="E9" s="494">
        <v>4</v>
      </c>
      <c r="F9" s="494">
        <v>5</v>
      </c>
      <c r="G9" s="494">
        <v>6</v>
      </c>
      <c r="H9" s="495" t="s">
        <v>821</v>
      </c>
      <c r="I9" s="494">
        <v>8</v>
      </c>
      <c r="J9" s="494">
        <v>9</v>
      </c>
      <c r="K9" s="494" t="s">
        <v>543</v>
      </c>
      <c r="L9" s="494">
        <v>11</v>
      </c>
      <c r="M9" s="494">
        <v>12</v>
      </c>
      <c r="N9" s="495" t="s">
        <v>822</v>
      </c>
      <c r="O9" s="494">
        <v>14</v>
      </c>
      <c r="P9" s="494">
        <v>15</v>
      </c>
      <c r="Q9" s="494">
        <v>16</v>
      </c>
      <c r="R9" s="495" t="s">
        <v>823</v>
      </c>
      <c r="IU9" s="387"/>
    </row>
    <row r="10" spans="1:255" s="397" customFormat="1" ht="15" hidden="1">
      <c r="A10" s="388"/>
      <c r="B10" s="388"/>
      <c r="C10" s="388"/>
      <c r="D10" s="393"/>
      <c r="E10" s="388"/>
      <c r="F10" s="388"/>
      <c r="G10" s="388"/>
      <c r="H10" s="388"/>
      <c r="I10" s="388"/>
      <c r="J10" s="388"/>
      <c r="K10" s="388"/>
      <c r="L10" s="388"/>
      <c r="M10" s="388"/>
      <c r="N10" s="388"/>
      <c r="O10" s="388"/>
      <c r="P10" s="388"/>
      <c r="Q10" s="496">
        <f aca="true" t="shared" si="0" ref="Q10:Q37">N10+O10+P10</f>
        <v>0</v>
      </c>
      <c r="R10" s="496">
        <f aca="true" t="shared" si="1" ref="R10:R73">N10+O10+P10-Q10</f>
        <v>0</v>
      </c>
      <c r="IU10" s="387"/>
    </row>
    <row r="11" spans="1:18" ht="15.75">
      <c r="A11" s="380">
        <v>1</v>
      </c>
      <c r="B11" s="381" t="s">
        <v>1334</v>
      </c>
      <c r="C11" s="382">
        <v>14.22</v>
      </c>
      <c r="D11" s="383">
        <v>23.51</v>
      </c>
      <c r="E11" s="382">
        <f>0.2+0.04</f>
        <v>0.24000000000000002</v>
      </c>
      <c r="F11" s="384"/>
      <c r="G11" s="385"/>
      <c r="H11" s="385">
        <f aca="true" t="shared" si="2" ref="H11:H49">D11+E11+F11-G11</f>
        <v>23.75</v>
      </c>
      <c r="I11" s="385">
        <v>0.35</v>
      </c>
      <c r="J11" s="386">
        <v>0.5</v>
      </c>
      <c r="K11" s="385">
        <f aca="true" t="shared" si="3" ref="K11:K62">I11+J11</f>
        <v>0.85</v>
      </c>
      <c r="L11" s="385"/>
      <c r="M11" s="385">
        <f>H11+K11+L11</f>
        <v>24.6</v>
      </c>
      <c r="N11" s="385">
        <f aca="true" t="shared" si="4" ref="N11:N74">H11+K11+L11-M11</f>
        <v>0</v>
      </c>
      <c r="O11" s="385"/>
      <c r="P11" s="385"/>
      <c r="Q11" s="496">
        <f t="shared" si="0"/>
        <v>0</v>
      </c>
      <c r="R11" s="496">
        <f t="shared" si="1"/>
        <v>0</v>
      </c>
    </row>
    <row r="12" spans="1:18" ht="15.75">
      <c r="A12" s="380">
        <v>2</v>
      </c>
      <c r="B12" s="381" t="s">
        <v>911</v>
      </c>
      <c r="C12" s="388"/>
      <c r="D12" s="389"/>
      <c r="E12" s="389">
        <v>-0.56</v>
      </c>
      <c r="F12" s="390"/>
      <c r="G12" s="385">
        <f>D12+E12+F12</f>
        <v>-0.56</v>
      </c>
      <c r="H12" s="385">
        <f t="shared" si="2"/>
        <v>0</v>
      </c>
      <c r="I12" s="385"/>
      <c r="J12" s="385"/>
      <c r="K12" s="385">
        <f t="shared" si="3"/>
        <v>0</v>
      </c>
      <c r="L12" s="385"/>
      <c r="M12" s="385">
        <f>H12+K12+L12</f>
        <v>0</v>
      </c>
      <c r="N12" s="385">
        <f t="shared" si="4"/>
        <v>0</v>
      </c>
      <c r="O12" s="385"/>
      <c r="P12" s="385"/>
      <c r="Q12" s="496">
        <f t="shared" si="0"/>
        <v>0</v>
      </c>
      <c r="R12" s="496">
        <f t="shared" si="1"/>
        <v>0</v>
      </c>
    </row>
    <row r="13" spans="1:18" ht="15.75">
      <c r="A13" s="380">
        <v>3</v>
      </c>
      <c r="B13" s="381" t="s">
        <v>1369</v>
      </c>
      <c r="C13" s="388"/>
      <c r="D13" s="389"/>
      <c r="E13" s="383">
        <v>1.11</v>
      </c>
      <c r="F13" s="390"/>
      <c r="G13" s="385">
        <f>D13+E13+F13</f>
        <v>1.11</v>
      </c>
      <c r="H13" s="385">
        <f t="shared" si="2"/>
        <v>0</v>
      </c>
      <c r="I13" s="385"/>
      <c r="J13" s="385"/>
      <c r="K13" s="385">
        <f t="shared" si="3"/>
        <v>0</v>
      </c>
      <c r="L13" s="385"/>
      <c r="M13" s="385">
        <f>H13+K13+L13</f>
        <v>0</v>
      </c>
      <c r="N13" s="385">
        <f t="shared" si="4"/>
        <v>0</v>
      </c>
      <c r="O13" s="385"/>
      <c r="P13" s="385"/>
      <c r="Q13" s="496">
        <f t="shared" si="0"/>
        <v>0</v>
      </c>
      <c r="R13" s="496">
        <f t="shared" si="1"/>
        <v>0</v>
      </c>
    </row>
    <row r="14" spans="1:18" ht="15.75">
      <c r="A14" s="380">
        <v>4</v>
      </c>
      <c r="B14" s="381" t="s">
        <v>960</v>
      </c>
      <c r="C14" s="391"/>
      <c r="D14" s="389">
        <v>0.68</v>
      </c>
      <c r="E14" s="383"/>
      <c r="F14" s="384"/>
      <c r="G14" s="385"/>
      <c r="H14" s="385">
        <f t="shared" si="2"/>
        <v>0.68</v>
      </c>
      <c r="I14" s="385"/>
      <c r="J14" s="385"/>
      <c r="K14" s="385">
        <f t="shared" si="3"/>
        <v>0</v>
      </c>
      <c r="L14" s="385"/>
      <c r="M14" s="385"/>
      <c r="N14" s="385">
        <f t="shared" si="4"/>
        <v>0.68</v>
      </c>
      <c r="O14" s="385"/>
      <c r="P14" s="385"/>
      <c r="Q14" s="496">
        <f t="shared" si="0"/>
        <v>0.68</v>
      </c>
      <c r="R14" s="496">
        <f t="shared" si="1"/>
        <v>0</v>
      </c>
    </row>
    <row r="15" spans="1:18" ht="15.75">
      <c r="A15" s="380">
        <v>5</v>
      </c>
      <c r="B15" s="381" t="s">
        <v>1370</v>
      </c>
      <c r="C15" s="391"/>
      <c r="D15" s="389"/>
      <c r="E15" s="383">
        <v>0.05</v>
      </c>
      <c r="F15" s="384"/>
      <c r="G15" s="385">
        <f>D15+E15+F15</f>
        <v>0.05</v>
      </c>
      <c r="H15" s="385">
        <f t="shared" si="2"/>
        <v>0</v>
      </c>
      <c r="I15" s="388"/>
      <c r="J15" s="388"/>
      <c r="K15" s="385">
        <f t="shared" si="3"/>
        <v>0</v>
      </c>
      <c r="L15" s="385"/>
      <c r="M15" s="385"/>
      <c r="N15" s="385">
        <f t="shared" si="4"/>
        <v>0</v>
      </c>
      <c r="O15" s="385"/>
      <c r="P15" s="385"/>
      <c r="Q15" s="496">
        <f t="shared" si="0"/>
        <v>0</v>
      </c>
      <c r="R15" s="496">
        <f t="shared" si="1"/>
        <v>0</v>
      </c>
    </row>
    <row r="16" spans="1:18" ht="31.5">
      <c r="A16" s="380">
        <v>6</v>
      </c>
      <c r="B16" s="381" t="s">
        <v>418</v>
      </c>
      <c r="C16" s="382"/>
      <c r="D16" s="389"/>
      <c r="E16" s="383">
        <v>0.1</v>
      </c>
      <c r="F16" s="384"/>
      <c r="G16" s="385">
        <f aca="true" t="shared" si="5" ref="G16:G26">D16+E16+F16</f>
        <v>0.1</v>
      </c>
      <c r="H16" s="385">
        <f t="shared" si="2"/>
        <v>0</v>
      </c>
      <c r="I16" s="386"/>
      <c r="J16" s="388"/>
      <c r="K16" s="385">
        <f t="shared" si="3"/>
        <v>0</v>
      </c>
      <c r="L16" s="385"/>
      <c r="M16" s="385">
        <f aca="true" t="shared" si="6" ref="M16:M26">H16+K16+L16</f>
        <v>0</v>
      </c>
      <c r="N16" s="385">
        <f t="shared" si="4"/>
        <v>0</v>
      </c>
      <c r="O16" s="385"/>
      <c r="P16" s="385"/>
      <c r="Q16" s="496">
        <f t="shared" si="0"/>
        <v>0</v>
      </c>
      <c r="R16" s="496">
        <f t="shared" si="1"/>
        <v>0</v>
      </c>
    </row>
    <row r="17" spans="1:18" ht="15.75">
      <c r="A17" s="380">
        <v>7</v>
      </c>
      <c r="B17" s="381" t="s">
        <v>912</v>
      </c>
      <c r="C17" s="382"/>
      <c r="D17" s="389"/>
      <c r="E17" s="389">
        <v>0.02</v>
      </c>
      <c r="F17" s="384"/>
      <c r="G17" s="385">
        <f t="shared" si="5"/>
        <v>0.02</v>
      </c>
      <c r="H17" s="385">
        <f t="shared" si="2"/>
        <v>0</v>
      </c>
      <c r="I17" s="385"/>
      <c r="J17" s="392"/>
      <c r="K17" s="385">
        <f t="shared" si="3"/>
        <v>0</v>
      </c>
      <c r="L17" s="385"/>
      <c r="M17" s="385">
        <f t="shared" si="6"/>
        <v>0</v>
      </c>
      <c r="N17" s="385">
        <f t="shared" si="4"/>
        <v>0</v>
      </c>
      <c r="O17" s="385"/>
      <c r="P17" s="385"/>
      <c r="Q17" s="496">
        <f t="shared" si="0"/>
        <v>0</v>
      </c>
      <c r="R17" s="496">
        <f t="shared" si="1"/>
        <v>0</v>
      </c>
    </row>
    <row r="18" spans="1:18" ht="15.75">
      <c r="A18" s="380">
        <v>8</v>
      </c>
      <c r="B18" s="381" t="s">
        <v>276</v>
      </c>
      <c r="C18" s="382"/>
      <c r="D18" s="389"/>
      <c r="E18" s="383">
        <v>0.06</v>
      </c>
      <c r="F18" s="384"/>
      <c r="G18" s="385">
        <f t="shared" si="5"/>
        <v>0.06</v>
      </c>
      <c r="H18" s="385">
        <f t="shared" si="2"/>
        <v>0</v>
      </c>
      <c r="I18" s="385"/>
      <c r="J18" s="388"/>
      <c r="K18" s="385">
        <f t="shared" si="3"/>
        <v>0</v>
      </c>
      <c r="L18" s="385"/>
      <c r="M18" s="385">
        <f t="shared" si="6"/>
        <v>0</v>
      </c>
      <c r="N18" s="385">
        <f t="shared" si="4"/>
        <v>0</v>
      </c>
      <c r="O18" s="385"/>
      <c r="P18" s="385"/>
      <c r="Q18" s="496">
        <f t="shared" si="0"/>
        <v>0</v>
      </c>
      <c r="R18" s="496">
        <f t="shared" si="1"/>
        <v>0</v>
      </c>
    </row>
    <row r="19" spans="1:18" ht="15.75">
      <c r="A19" s="380">
        <v>9</v>
      </c>
      <c r="B19" s="381" t="s">
        <v>267</v>
      </c>
      <c r="C19" s="382"/>
      <c r="D19" s="389"/>
      <c r="E19" s="389">
        <v>-0.03</v>
      </c>
      <c r="F19" s="384"/>
      <c r="G19" s="385">
        <f t="shared" si="5"/>
        <v>-0.03</v>
      </c>
      <c r="H19" s="385">
        <f t="shared" si="2"/>
        <v>0</v>
      </c>
      <c r="I19" s="385"/>
      <c r="J19" s="385"/>
      <c r="K19" s="385">
        <f t="shared" si="3"/>
        <v>0</v>
      </c>
      <c r="L19" s="385"/>
      <c r="M19" s="385">
        <f t="shared" si="6"/>
        <v>0</v>
      </c>
      <c r="N19" s="385">
        <f t="shared" si="4"/>
        <v>0</v>
      </c>
      <c r="O19" s="385"/>
      <c r="P19" s="385"/>
      <c r="Q19" s="496">
        <f t="shared" si="0"/>
        <v>0</v>
      </c>
      <c r="R19" s="496">
        <f t="shared" si="1"/>
        <v>0</v>
      </c>
    </row>
    <row r="20" spans="1:18" ht="31.5">
      <c r="A20" s="380">
        <v>10</v>
      </c>
      <c r="B20" s="381" t="s">
        <v>414</v>
      </c>
      <c r="C20" s="391"/>
      <c r="D20" s="389"/>
      <c r="E20" s="383">
        <v>-0.01</v>
      </c>
      <c r="F20" s="384"/>
      <c r="G20" s="385">
        <f t="shared" si="5"/>
        <v>-0.01</v>
      </c>
      <c r="H20" s="385">
        <f t="shared" si="2"/>
        <v>0</v>
      </c>
      <c r="I20" s="388"/>
      <c r="J20" s="388"/>
      <c r="K20" s="385">
        <f t="shared" si="3"/>
        <v>0</v>
      </c>
      <c r="L20" s="385"/>
      <c r="M20" s="385">
        <f t="shared" si="6"/>
        <v>0</v>
      </c>
      <c r="N20" s="385">
        <f t="shared" si="4"/>
        <v>0</v>
      </c>
      <c r="O20" s="385"/>
      <c r="P20" s="385"/>
      <c r="Q20" s="496">
        <f t="shared" si="0"/>
        <v>0</v>
      </c>
      <c r="R20" s="496">
        <f t="shared" si="1"/>
        <v>0</v>
      </c>
    </row>
    <row r="21" spans="1:18" ht="31.5">
      <c r="A21" s="380">
        <v>11</v>
      </c>
      <c r="B21" s="381" t="s">
        <v>1371</v>
      </c>
      <c r="C21" s="382"/>
      <c r="D21" s="389"/>
      <c r="E21" s="383">
        <v>0.45</v>
      </c>
      <c r="F21" s="384"/>
      <c r="G21" s="385">
        <f t="shared" si="5"/>
        <v>0.45</v>
      </c>
      <c r="H21" s="385">
        <f t="shared" si="2"/>
        <v>0</v>
      </c>
      <c r="I21" s="388"/>
      <c r="J21" s="388"/>
      <c r="K21" s="385">
        <f t="shared" si="3"/>
        <v>0</v>
      </c>
      <c r="L21" s="385"/>
      <c r="M21" s="385">
        <f t="shared" si="6"/>
        <v>0</v>
      </c>
      <c r="N21" s="385">
        <f t="shared" si="4"/>
        <v>0</v>
      </c>
      <c r="O21" s="385"/>
      <c r="P21" s="385"/>
      <c r="Q21" s="496">
        <f t="shared" si="0"/>
        <v>0</v>
      </c>
      <c r="R21" s="496">
        <f t="shared" si="1"/>
        <v>0</v>
      </c>
    </row>
    <row r="22" spans="1:18" ht="15.75">
      <c r="A22" s="380">
        <v>12</v>
      </c>
      <c r="B22" s="381" t="s">
        <v>913</v>
      </c>
      <c r="C22" s="382"/>
      <c r="D22" s="389"/>
      <c r="E22" s="389">
        <v>0.07</v>
      </c>
      <c r="F22" s="384"/>
      <c r="G22" s="385">
        <f t="shared" si="5"/>
        <v>0.07</v>
      </c>
      <c r="H22" s="385">
        <f t="shared" si="2"/>
        <v>0</v>
      </c>
      <c r="I22" s="388"/>
      <c r="J22" s="388"/>
      <c r="K22" s="385">
        <f t="shared" si="3"/>
        <v>0</v>
      </c>
      <c r="L22" s="385"/>
      <c r="M22" s="385">
        <f t="shared" si="6"/>
        <v>0</v>
      </c>
      <c r="N22" s="385">
        <f t="shared" si="4"/>
        <v>0</v>
      </c>
      <c r="O22" s="385"/>
      <c r="P22" s="385"/>
      <c r="Q22" s="496">
        <f t="shared" si="0"/>
        <v>0</v>
      </c>
      <c r="R22" s="496">
        <f t="shared" si="1"/>
        <v>0</v>
      </c>
    </row>
    <row r="23" spans="1:18" ht="15.75">
      <c r="A23" s="380">
        <v>13</v>
      </c>
      <c r="B23" s="381" t="s">
        <v>914</v>
      </c>
      <c r="C23" s="382"/>
      <c r="D23" s="389"/>
      <c r="E23" s="389">
        <v>-0.37</v>
      </c>
      <c r="F23" s="384"/>
      <c r="G23" s="385">
        <f t="shared" si="5"/>
        <v>-0.37</v>
      </c>
      <c r="H23" s="385">
        <f t="shared" si="2"/>
        <v>0</v>
      </c>
      <c r="I23" s="388"/>
      <c r="J23" s="388"/>
      <c r="K23" s="385">
        <f t="shared" si="3"/>
        <v>0</v>
      </c>
      <c r="L23" s="385"/>
      <c r="M23" s="385">
        <f t="shared" si="6"/>
        <v>0</v>
      </c>
      <c r="N23" s="385">
        <f t="shared" si="4"/>
        <v>0</v>
      </c>
      <c r="O23" s="388"/>
      <c r="P23" s="385"/>
      <c r="Q23" s="496">
        <f t="shared" si="0"/>
        <v>0</v>
      </c>
      <c r="R23" s="496">
        <f t="shared" si="1"/>
        <v>0</v>
      </c>
    </row>
    <row r="24" spans="1:18" ht="15.75">
      <c r="A24" s="380">
        <v>14</v>
      </c>
      <c r="B24" s="381" t="s">
        <v>915</v>
      </c>
      <c r="C24" s="382"/>
      <c r="D24" s="383"/>
      <c r="E24" s="383">
        <v>0.16</v>
      </c>
      <c r="F24" s="384"/>
      <c r="G24" s="385">
        <f t="shared" si="5"/>
        <v>0.16</v>
      </c>
      <c r="H24" s="385">
        <f t="shared" si="2"/>
        <v>0</v>
      </c>
      <c r="I24" s="386"/>
      <c r="J24" s="388"/>
      <c r="K24" s="385">
        <f t="shared" si="3"/>
        <v>0</v>
      </c>
      <c r="L24" s="385"/>
      <c r="M24" s="385">
        <f t="shared" si="6"/>
        <v>0</v>
      </c>
      <c r="N24" s="385">
        <f t="shared" si="4"/>
        <v>0</v>
      </c>
      <c r="O24" s="385"/>
      <c r="P24" s="385"/>
      <c r="Q24" s="496">
        <f t="shared" si="0"/>
        <v>0</v>
      </c>
      <c r="R24" s="496">
        <f t="shared" si="1"/>
        <v>0</v>
      </c>
    </row>
    <row r="25" spans="1:18" ht="31.5">
      <c r="A25" s="380">
        <v>15</v>
      </c>
      <c r="B25" s="381" t="s">
        <v>916</v>
      </c>
      <c r="C25" s="382"/>
      <c r="D25" s="383"/>
      <c r="E25" s="383">
        <v>3.12</v>
      </c>
      <c r="F25" s="384"/>
      <c r="G25" s="385">
        <f t="shared" si="5"/>
        <v>3.12</v>
      </c>
      <c r="H25" s="385">
        <f t="shared" si="2"/>
        <v>0</v>
      </c>
      <c r="I25" s="386">
        <v>0.37</v>
      </c>
      <c r="J25" s="386">
        <v>0.1</v>
      </c>
      <c r="K25" s="385">
        <f t="shared" si="3"/>
        <v>0.47</v>
      </c>
      <c r="L25" s="385"/>
      <c r="M25" s="385">
        <f t="shared" si="6"/>
        <v>0.47</v>
      </c>
      <c r="N25" s="385">
        <f t="shared" si="4"/>
        <v>0</v>
      </c>
      <c r="O25" s="385"/>
      <c r="P25" s="385"/>
      <c r="Q25" s="496">
        <f t="shared" si="0"/>
        <v>0</v>
      </c>
      <c r="R25" s="496">
        <f t="shared" si="1"/>
        <v>0</v>
      </c>
    </row>
    <row r="26" spans="1:18" ht="15.75">
      <c r="A26" s="380">
        <v>16</v>
      </c>
      <c r="B26" s="381" t="s">
        <v>270</v>
      </c>
      <c r="C26" s="382"/>
      <c r="D26" s="389"/>
      <c r="E26" s="383">
        <v>0.53</v>
      </c>
      <c r="F26" s="384"/>
      <c r="G26" s="385">
        <f t="shared" si="5"/>
        <v>0.53</v>
      </c>
      <c r="H26" s="385">
        <f t="shared" si="2"/>
        <v>0</v>
      </c>
      <c r="I26" s="386"/>
      <c r="J26" s="388"/>
      <c r="K26" s="385">
        <f t="shared" si="3"/>
        <v>0</v>
      </c>
      <c r="L26" s="385"/>
      <c r="M26" s="385">
        <f t="shared" si="6"/>
        <v>0</v>
      </c>
      <c r="N26" s="385">
        <f t="shared" si="4"/>
        <v>0</v>
      </c>
      <c r="O26" s="385"/>
      <c r="P26" s="385"/>
      <c r="Q26" s="496">
        <f t="shared" si="0"/>
        <v>0</v>
      </c>
      <c r="R26" s="496">
        <f t="shared" si="1"/>
        <v>0</v>
      </c>
    </row>
    <row r="27" spans="1:18" ht="15.75">
      <c r="A27" s="380">
        <v>17</v>
      </c>
      <c r="B27" s="381" t="s">
        <v>971</v>
      </c>
      <c r="C27" s="382"/>
      <c r="D27" s="389"/>
      <c r="E27" s="383">
        <v>0.43</v>
      </c>
      <c r="F27" s="384"/>
      <c r="G27" s="385"/>
      <c r="H27" s="385">
        <f t="shared" si="2"/>
        <v>0.43</v>
      </c>
      <c r="I27" s="386"/>
      <c r="J27" s="388"/>
      <c r="K27" s="385">
        <f t="shared" si="3"/>
        <v>0</v>
      </c>
      <c r="L27" s="385"/>
      <c r="M27" s="385"/>
      <c r="N27" s="385">
        <f t="shared" si="4"/>
        <v>0.43</v>
      </c>
      <c r="O27" s="385"/>
      <c r="P27" s="385"/>
      <c r="Q27" s="496">
        <f t="shared" si="0"/>
        <v>0.43</v>
      </c>
      <c r="R27" s="496">
        <f t="shared" si="1"/>
        <v>0</v>
      </c>
    </row>
    <row r="28" spans="1:18" ht="15.75">
      <c r="A28" s="380">
        <v>18</v>
      </c>
      <c r="B28" s="381" t="s">
        <v>1344</v>
      </c>
      <c r="C28" s="382"/>
      <c r="D28" s="389"/>
      <c r="E28" s="389"/>
      <c r="F28" s="384"/>
      <c r="G28" s="385">
        <f>D28+E28+F28</f>
        <v>0</v>
      </c>
      <c r="H28" s="385">
        <f t="shared" si="2"/>
        <v>0</v>
      </c>
      <c r="I28" s="386"/>
      <c r="J28" s="386"/>
      <c r="K28" s="385">
        <f t="shared" si="3"/>
        <v>0</v>
      </c>
      <c r="L28" s="385"/>
      <c r="M28" s="385">
        <f>H28+K28+L28</f>
        <v>0</v>
      </c>
      <c r="N28" s="385">
        <f t="shared" si="4"/>
        <v>0</v>
      </c>
      <c r="O28" s="385"/>
      <c r="P28" s="385"/>
      <c r="Q28" s="496">
        <f t="shared" si="0"/>
        <v>0</v>
      </c>
      <c r="R28" s="496">
        <f t="shared" si="1"/>
        <v>0</v>
      </c>
    </row>
    <row r="29" spans="1:18" ht="31.5">
      <c r="A29" s="380">
        <v>19</v>
      </c>
      <c r="B29" s="381" t="s">
        <v>1372</v>
      </c>
      <c r="C29" s="382"/>
      <c r="D29" s="389">
        <v>3.11</v>
      </c>
      <c r="E29" s="383">
        <v>8.26</v>
      </c>
      <c r="F29" s="382">
        <v>0.42</v>
      </c>
      <c r="G29" s="385"/>
      <c r="H29" s="385">
        <f t="shared" si="2"/>
        <v>11.79</v>
      </c>
      <c r="I29" s="386">
        <v>3.23</v>
      </c>
      <c r="J29" s="386">
        <v>2.77</v>
      </c>
      <c r="K29" s="385">
        <f t="shared" si="3"/>
        <v>6</v>
      </c>
      <c r="L29" s="382"/>
      <c r="M29" s="385"/>
      <c r="N29" s="385">
        <f t="shared" si="4"/>
        <v>17.79</v>
      </c>
      <c r="O29" s="386">
        <v>17.16</v>
      </c>
      <c r="P29" s="382"/>
      <c r="Q29" s="386">
        <f t="shared" si="0"/>
        <v>34.95</v>
      </c>
      <c r="R29" s="496">
        <f t="shared" si="1"/>
        <v>0</v>
      </c>
    </row>
    <row r="30" spans="1:18" ht="31.5">
      <c r="A30" s="380">
        <v>20</v>
      </c>
      <c r="B30" s="381" t="s">
        <v>1373</v>
      </c>
      <c r="C30" s="382"/>
      <c r="D30" s="389">
        <f>2.07+3.6</f>
        <v>5.67</v>
      </c>
      <c r="E30" s="383">
        <v>1.56</v>
      </c>
      <c r="F30" s="382">
        <v>0.65</v>
      </c>
      <c r="G30" s="385"/>
      <c r="H30" s="385">
        <f t="shared" si="2"/>
        <v>7.880000000000001</v>
      </c>
      <c r="I30" s="386">
        <v>2.31</v>
      </c>
      <c r="J30" s="386">
        <v>3.69</v>
      </c>
      <c r="K30" s="385">
        <f t="shared" si="3"/>
        <v>6</v>
      </c>
      <c r="L30" s="382"/>
      <c r="M30" s="385"/>
      <c r="N30" s="385">
        <f t="shared" si="4"/>
        <v>13.88</v>
      </c>
      <c r="O30" s="386">
        <v>11.11</v>
      </c>
      <c r="P30" s="382"/>
      <c r="Q30" s="386">
        <f t="shared" si="0"/>
        <v>24.990000000000002</v>
      </c>
      <c r="R30" s="496">
        <f t="shared" si="1"/>
        <v>0</v>
      </c>
    </row>
    <row r="31" spans="1:18" ht="31.5">
      <c r="A31" s="380">
        <v>21</v>
      </c>
      <c r="B31" s="381" t="s">
        <v>1374</v>
      </c>
      <c r="C31" s="382"/>
      <c r="D31" s="389">
        <v>2.43</v>
      </c>
      <c r="E31" s="383">
        <v>5.4</v>
      </c>
      <c r="F31" s="382">
        <v>0.33</v>
      </c>
      <c r="G31" s="385"/>
      <c r="H31" s="385">
        <f t="shared" si="2"/>
        <v>8.16</v>
      </c>
      <c r="I31" s="386">
        <v>2.56</v>
      </c>
      <c r="J31" s="386">
        <v>2.44</v>
      </c>
      <c r="K31" s="385">
        <f t="shared" si="3"/>
        <v>5</v>
      </c>
      <c r="L31" s="382"/>
      <c r="M31" s="385"/>
      <c r="N31" s="385">
        <f t="shared" si="4"/>
        <v>13.16</v>
      </c>
      <c r="O31" s="386">
        <v>14.55</v>
      </c>
      <c r="P31" s="382"/>
      <c r="Q31" s="386">
        <f t="shared" si="0"/>
        <v>27.71</v>
      </c>
      <c r="R31" s="386">
        <f t="shared" si="1"/>
        <v>0</v>
      </c>
    </row>
    <row r="32" spans="1:18" ht="31.5">
      <c r="A32" s="380">
        <v>22</v>
      </c>
      <c r="B32" s="381" t="s">
        <v>1377</v>
      </c>
      <c r="C32" s="382"/>
      <c r="D32" s="389">
        <v>1.87</v>
      </c>
      <c r="E32" s="383">
        <v>7.64</v>
      </c>
      <c r="F32" s="382">
        <v>0.3</v>
      </c>
      <c r="G32" s="385"/>
      <c r="H32" s="385">
        <f t="shared" si="2"/>
        <v>9.81</v>
      </c>
      <c r="I32" s="386">
        <v>1.91</v>
      </c>
      <c r="J32" s="386">
        <v>3.09</v>
      </c>
      <c r="K32" s="385">
        <f t="shared" si="3"/>
        <v>5</v>
      </c>
      <c r="L32" s="382"/>
      <c r="M32" s="385"/>
      <c r="N32" s="385">
        <f t="shared" si="4"/>
        <v>14.81</v>
      </c>
      <c r="O32" s="386">
        <v>5.8</v>
      </c>
      <c r="P32" s="382"/>
      <c r="Q32" s="386">
        <f t="shared" si="0"/>
        <v>20.61</v>
      </c>
      <c r="R32" s="386">
        <f t="shared" si="1"/>
        <v>0</v>
      </c>
    </row>
    <row r="33" spans="1:18" ht="31.5">
      <c r="A33" s="380">
        <v>23</v>
      </c>
      <c r="B33" s="381" t="s">
        <v>1386</v>
      </c>
      <c r="C33" s="382"/>
      <c r="D33" s="389">
        <v>1.88</v>
      </c>
      <c r="E33" s="383">
        <v>6.86</v>
      </c>
      <c r="F33" s="382">
        <v>0.26</v>
      </c>
      <c r="G33" s="385"/>
      <c r="H33" s="385">
        <f t="shared" si="2"/>
        <v>9</v>
      </c>
      <c r="I33" s="386">
        <v>1.89</v>
      </c>
      <c r="J33" s="386">
        <v>1.5</v>
      </c>
      <c r="K33" s="385">
        <f t="shared" si="3"/>
        <v>3.3899999999999997</v>
      </c>
      <c r="L33" s="382"/>
      <c r="M33" s="385">
        <f>H33+K33+L33</f>
        <v>12.39</v>
      </c>
      <c r="N33" s="385">
        <f t="shared" si="4"/>
        <v>0</v>
      </c>
      <c r="O33" s="386"/>
      <c r="P33" s="382"/>
      <c r="Q33" s="386">
        <f t="shared" si="0"/>
        <v>0</v>
      </c>
      <c r="R33" s="386">
        <f t="shared" si="1"/>
        <v>0</v>
      </c>
    </row>
    <row r="34" spans="1:18" ht="31.5">
      <c r="A34" s="380">
        <v>24</v>
      </c>
      <c r="B34" s="381" t="s">
        <v>1336</v>
      </c>
      <c r="C34" s="382"/>
      <c r="D34" s="389"/>
      <c r="E34" s="383"/>
      <c r="F34" s="382"/>
      <c r="G34" s="385">
        <f>D34+E34+F34</f>
        <v>0</v>
      </c>
      <c r="H34" s="385">
        <f t="shared" si="2"/>
        <v>0</v>
      </c>
      <c r="I34" s="386">
        <v>3.1</v>
      </c>
      <c r="J34" s="386">
        <v>6</v>
      </c>
      <c r="K34" s="385">
        <f t="shared" si="3"/>
        <v>9.1</v>
      </c>
      <c r="L34" s="382"/>
      <c r="M34" s="385"/>
      <c r="N34" s="385">
        <f t="shared" si="4"/>
        <v>9.1</v>
      </c>
      <c r="O34" s="386">
        <v>24.43</v>
      </c>
      <c r="P34" s="382"/>
      <c r="Q34" s="386">
        <f t="shared" si="0"/>
        <v>33.53</v>
      </c>
      <c r="R34" s="386">
        <f t="shared" si="1"/>
        <v>0</v>
      </c>
    </row>
    <row r="35" spans="1:18" ht="31.5">
      <c r="A35" s="380">
        <v>25</v>
      </c>
      <c r="B35" s="381" t="s">
        <v>1387</v>
      </c>
      <c r="C35" s="382"/>
      <c r="D35" s="382">
        <v>0.14</v>
      </c>
      <c r="E35" s="386">
        <f>5.43-0.14</f>
        <v>5.29</v>
      </c>
      <c r="F35" s="382"/>
      <c r="G35" s="385"/>
      <c r="H35" s="385">
        <f t="shared" si="2"/>
        <v>5.43</v>
      </c>
      <c r="I35" s="388">
        <v>1.12</v>
      </c>
      <c r="J35" s="386">
        <v>3.27</v>
      </c>
      <c r="K35" s="385">
        <f t="shared" si="3"/>
        <v>4.390000000000001</v>
      </c>
      <c r="L35" s="382"/>
      <c r="M35" s="385">
        <f>H35+K35+L35</f>
        <v>9.82</v>
      </c>
      <c r="N35" s="385">
        <f t="shared" si="4"/>
        <v>0</v>
      </c>
      <c r="O35" s="386"/>
      <c r="P35" s="382"/>
      <c r="Q35" s="386">
        <f t="shared" si="0"/>
        <v>0</v>
      </c>
      <c r="R35" s="386">
        <f t="shared" si="1"/>
        <v>0</v>
      </c>
    </row>
    <row r="36" spans="1:18" ht="31.5">
      <c r="A36" s="380">
        <v>26</v>
      </c>
      <c r="B36" s="381" t="s">
        <v>1388</v>
      </c>
      <c r="C36" s="382"/>
      <c r="D36" s="382">
        <v>0.97</v>
      </c>
      <c r="E36" s="382">
        <v>4.82</v>
      </c>
      <c r="F36" s="382"/>
      <c r="G36" s="385"/>
      <c r="H36" s="385">
        <f t="shared" si="2"/>
        <v>5.79</v>
      </c>
      <c r="I36" s="382">
        <v>1.41</v>
      </c>
      <c r="J36" s="382">
        <v>2.91</v>
      </c>
      <c r="K36" s="385">
        <f t="shared" si="3"/>
        <v>4.32</v>
      </c>
      <c r="L36" s="382"/>
      <c r="M36" s="385">
        <f>H36+K36+L36</f>
        <v>10.11</v>
      </c>
      <c r="N36" s="385">
        <f t="shared" si="4"/>
        <v>0</v>
      </c>
      <c r="O36" s="382"/>
      <c r="P36" s="382"/>
      <c r="Q36" s="386">
        <f t="shared" si="0"/>
        <v>0</v>
      </c>
      <c r="R36" s="386">
        <f t="shared" si="1"/>
        <v>0</v>
      </c>
    </row>
    <row r="37" spans="1:18" ht="31.5">
      <c r="A37" s="380">
        <v>27</v>
      </c>
      <c r="B37" s="381" t="s">
        <v>1338</v>
      </c>
      <c r="C37" s="382"/>
      <c r="D37" s="382">
        <v>0.16</v>
      </c>
      <c r="E37" s="382">
        <v>6.84</v>
      </c>
      <c r="F37" s="382"/>
      <c r="G37" s="385"/>
      <c r="H37" s="385">
        <f t="shared" si="2"/>
        <v>7</v>
      </c>
      <c r="I37" s="382">
        <v>1.27</v>
      </c>
      <c r="J37" s="382">
        <v>3.47</v>
      </c>
      <c r="K37" s="385">
        <f t="shared" si="3"/>
        <v>4.74</v>
      </c>
      <c r="L37" s="382"/>
      <c r="M37" s="385">
        <f>H37+K37+L37</f>
        <v>11.74</v>
      </c>
      <c r="N37" s="385">
        <f t="shared" si="4"/>
        <v>0</v>
      </c>
      <c r="O37" s="382"/>
      <c r="P37" s="382"/>
      <c r="Q37" s="386">
        <f t="shared" si="0"/>
        <v>0</v>
      </c>
      <c r="R37" s="386">
        <f t="shared" si="1"/>
        <v>0</v>
      </c>
    </row>
    <row r="38" spans="1:18" ht="31.5">
      <c r="A38" s="380">
        <v>28</v>
      </c>
      <c r="B38" s="381" t="s">
        <v>1339</v>
      </c>
      <c r="C38" s="382"/>
      <c r="D38" s="382">
        <v>0.27</v>
      </c>
      <c r="E38" s="386">
        <v>1.14</v>
      </c>
      <c r="F38" s="382"/>
      <c r="G38" s="385"/>
      <c r="H38" s="385">
        <f t="shared" si="2"/>
        <v>1.41</v>
      </c>
      <c r="I38" s="382">
        <v>1.49</v>
      </c>
      <c r="J38" s="386">
        <v>4</v>
      </c>
      <c r="K38" s="385">
        <f t="shared" si="3"/>
        <v>5.49</v>
      </c>
      <c r="L38" s="382"/>
      <c r="M38" s="385"/>
      <c r="N38" s="385">
        <f t="shared" si="4"/>
        <v>6.9</v>
      </c>
      <c r="O38" s="382">
        <v>5.5</v>
      </c>
      <c r="P38" s="382"/>
      <c r="Q38" s="386"/>
      <c r="R38" s="386">
        <f t="shared" si="1"/>
        <v>12.4</v>
      </c>
    </row>
    <row r="39" spans="1:18" ht="31.5">
      <c r="A39" s="380">
        <v>29</v>
      </c>
      <c r="B39" s="381" t="s">
        <v>1389</v>
      </c>
      <c r="C39" s="382"/>
      <c r="D39" s="382">
        <v>0.25</v>
      </c>
      <c r="E39" s="382">
        <v>1.28</v>
      </c>
      <c r="F39" s="382"/>
      <c r="G39" s="385"/>
      <c r="H39" s="385">
        <f t="shared" si="2"/>
        <v>1.53</v>
      </c>
      <c r="I39" s="382">
        <v>1.14</v>
      </c>
      <c r="J39" s="386">
        <v>9.22</v>
      </c>
      <c r="K39" s="385">
        <f t="shared" si="3"/>
        <v>10.360000000000001</v>
      </c>
      <c r="L39" s="382"/>
      <c r="M39" s="385"/>
      <c r="N39" s="385">
        <f t="shared" si="4"/>
        <v>11.89</v>
      </c>
      <c r="O39" s="386">
        <v>5.21</v>
      </c>
      <c r="P39" s="382"/>
      <c r="Q39" s="386">
        <f aca="true" t="shared" si="7" ref="Q39:Q55">N39+O39+P39</f>
        <v>17.1</v>
      </c>
      <c r="R39" s="386">
        <f t="shared" si="1"/>
        <v>0</v>
      </c>
    </row>
    <row r="40" spans="1:18" ht="31.5">
      <c r="A40" s="380">
        <v>30</v>
      </c>
      <c r="B40" s="381" t="s">
        <v>17</v>
      </c>
      <c r="C40" s="382"/>
      <c r="D40" s="382">
        <f>7.24+0.48+0.02</f>
        <v>7.74</v>
      </c>
      <c r="E40" s="382">
        <f>5.02+0.04+3.16-0.02</f>
        <v>8.2</v>
      </c>
      <c r="F40" s="382"/>
      <c r="G40" s="385">
        <f>0.04-0.02</f>
        <v>0.02</v>
      </c>
      <c r="H40" s="385">
        <f t="shared" si="2"/>
        <v>15.92</v>
      </c>
      <c r="I40" s="382">
        <v>3.6</v>
      </c>
      <c r="J40" s="386">
        <v>15</v>
      </c>
      <c r="K40" s="385">
        <f t="shared" si="3"/>
        <v>18.6</v>
      </c>
      <c r="L40" s="382"/>
      <c r="M40" s="385"/>
      <c r="N40" s="385">
        <f t="shared" si="4"/>
        <v>34.52</v>
      </c>
      <c r="O40" s="382">
        <v>0.16</v>
      </c>
      <c r="P40" s="382"/>
      <c r="Q40" s="386">
        <f t="shared" si="7"/>
        <v>34.68</v>
      </c>
      <c r="R40" s="386">
        <f t="shared" si="1"/>
        <v>0</v>
      </c>
    </row>
    <row r="41" spans="1:18" ht="15.75" hidden="1">
      <c r="A41" s="380">
        <v>31</v>
      </c>
      <c r="B41" s="381"/>
      <c r="C41" s="382"/>
      <c r="D41" s="382"/>
      <c r="E41" s="382"/>
      <c r="F41" s="382"/>
      <c r="G41" s="385">
        <f>D41+E41+F41</f>
        <v>0</v>
      </c>
      <c r="H41" s="385">
        <f t="shared" si="2"/>
        <v>0</v>
      </c>
      <c r="I41" s="382"/>
      <c r="J41" s="386"/>
      <c r="K41" s="385">
        <f t="shared" si="3"/>
        <v>0</v>
      </c>
      <c r="L41" s="382"/>
      <c r="M41" s="385">
        <f>H41+K41+L41</f>
        <v>0</v>
      </c>
      <c r="N41" s="385">
        <f t="shared" si="4"/>
        <v>0</v>
      </c>
      <c r="O41" s="382"/>
      <c r="P41" s="382"/>
      <c r="Q41" s="386">
        <f t="shared" si="7"/>
        <v>0</v>
      </c>
      <c r="R41" s="386">
        <f t="shared" si="1"/>
        <v>0</v>
      </c>
    </row>
    <row r="42" spans="1:18" ht="15.75" hidden="1">
      <c r="A42" s="380">
        <v>32</v>
      </c>
      <c r="B42" s="381"/>
      <c r="C42" s="382"/>
      <c r="D42" s="382"/>
      <c r="E42" s="382"/>
      <c r="F42" s="382"/>
      <c r="G42" s="385">
        <f>D42+E42+F42</f>
        <v>0</v>
      </c>
      <c r="H42" s="385">
        <f t="shared" si="2"/>
        <v>0</v>
      </c>
      <c r="I42" s="382"/>
      <c r="J42" s="386"/>
      <c r="K42" s="385">
        <f t="shared" si="3"/>
        <v>0</v>
      </c>
      <c r="L42" s="382"/>
      <c r="M42" s="385">
        <f>H42+K42+L42</f>
        <v>0</v>
      </c>
      <c r="N42" s="385">
        <f t="shared" si="4"/>
        <v>0</v>
      </c>
      <c r="O42" s="382"/>
      <c r="P42" s="382"/>
      <c r="Q42" s="386">
        <f t="shared" si="7"/>
        <v>0</v>
      </c>
      <c r="R42" s="386">
        <f t="shared" si="1"/>
        <v>0</v>
      </c>
    </row>
    <row r="43" spans="1:18" ht="15.75" hidden="1">
      <c r="A43" s="380">
        <v>33</v>
      </c>
      <c r="B43" s="381"/>
      <c r="C43" s="382"/>
      <c r="D43" s="382"/>
      <c r="E43" s="382"/>
      <c r="F43" s="382"/>
      <c r="G43" s="385">
        <f>D43+E43+F43</f>
        <v>0</v>
      </c>
      <c r="H43" s="385">
        <f t="shared" si="2"/>
        <v>0</v>
      </c>
      <c r="I43" s="382"/>
      <c r="J43" s="386"/>
      <c r="K43" s="385">
        <f t="shared" si="3"/>
        <v>0</v>
      </c>
      <c r="L43" s="382"/>
      <c r="M43" s="385">
        <f>H43+K43+L43</f>
        <v>0</v>
      </c>
      <c r="N43" s="385">
        <f t="shared" si="4"/>
        <v>0</v>
      </c>
      <c r="O43" s="382"/>
      <c r="P43" s="382"/>
      <c r="Q43" s="386">
        <f t="shared" si="7"/>
        <v>0</v>
      </c>
      <c r="R43" s="386">
        <f t="shared" si="1"/>
        <v>0</v>
      </c>
    </row>
    <row r="44" spans="1:18" ht="31.5">
      <c r="A44" s="380">
        <v>31</v>
      </c>
      <c r="B44" s="381" t="s">
        <v>1348</v>
      </c>
      <c r="C44" s="388"/>
      <c r="D44" s="388">
        <v>1.64</v>
      </c>
      <c r="E44" s="382">
        <v>10.31</v>
      </c>
      <c r="F44" s="388"/>
      <c r="G44" s="385"/>
      <c r="H44" s="385">
        <f t="shared" si="2"/>
        <v>11.950000000000001</v>
      </c>
      <c r="I44" s="386">
        <v>5.97</v>
      </c>
      <c r="J44" s="386">
        <v>5.17</v>
      </c>
      <c r="K44" s="385">
        <f t="shared" si="3"/>
        <v>11.14</v>
      </c>
      <c r="L44" s="388"/>
      <c r="M44" s="385"/>
      <c r="N44" s="385">
        <f t="shared" si="4"/>
        <v>23.090000000000003</v>
      </c>
      <c r="O44" s="386">
        <v>15.88</v>
      </c>
      <c r="P44" s="388"/>
      <c r="Q44" s="386">
        <f t="shared" si="7"/>
        <v>38.970000000000006</v>
      </c>
      <c r="R44" s="386">
        <f t="shared" si="1"/>
        <v>0</v>
      </c>
    </row>
    <row r="45" spans="1:18" ht="31.5">
      <c r="A45" s="380">
        <v>32</v>
      </c>
      <c r="B45" s="381" t="s">
        <v>1340</v>
      </c>
      <c r="C45" s="382"/>
      <c r="D45" s="389">
        <v>0.09</v>
      </c>
      <c r="E45" s="389">
        <v>0.39</v>
      </c>
      <c r="F45" s="382"/>
      <c r="G45" s="385"/>
      <c r="H45" s="385">
        <f t="shared" si="2"/>
        <v>0.48</v>
      </c>
      <c r="I45" s="382"/>
      <c r="J45" s="386">
        <v>5.5</v>
      </c>
      <c r="K45" s="385">
        <f t="shared" si="3"/>
        <v>5.5</v>
      </c>
      <c r="L45" s="382"/>
      <c r="M45" s="385"/>
      <c r="N45" s="385">
        <f t="shared" si="4"/>
        <v>5.98</v>
      </c>
      <c r="O45" s="382">
        <v>10.65</v>
      </c>
      <c r="P45" s="382"/>
      <c r="Q45" s="386">
        <f t="shared" si="7"/>
        <v>16.630000000000003</v>
      </c>
      <c r="R45" s="386">
        <f t="shared" si="1"/>
        <v>0</v>
      </c>
    </row>
    <row r="46" spans="1:18" ht="31.5">
      <c r="A46" s="380">
        <v>33</v>
      </c>
      <c r="B46" s="381" t="s">
        <v>1341</v>
      </c>
      <c r="C46" s="382"/>
      <c r="D46" s="389">
        <v>1.22</v>
      </c>
      <c r="E46" s="389">
        <v>2.61</v>
      </c>
      <c r="F46" s="382"/>
      <c r="G46" s="385"/>
      <c r="H46" s="385">
        <f t="shared" si="2"/>
        <v>3.83</v>
      </c>
      <c r="I46" s="382"/>
      <c r="J46" s="386">
        <v>3</v>
      </c>
      <c r="K46" s="385">
        <f t="shared" si="3"/>
        <v>3</v>
      </c>
      <c r="L46" s="382"/>
      <c r="M46" s="385"/>
      <c r="N46" s="385">
        <f t="shared" si="4"/>
        <v>6.83</v>
      </c>
      <c r="O46" s="382"/>
      <c r="P46" s="382"/>
      <c r="Q46" s="386">
        <f t="shared" si="7"/>
        <v>6.83</v>
      </c>
      <c r="R46" s="386">
        <f t="shared" si="1"/>
        <v>0</v>
      </c>
    </row>
    <row r="47" spans="1:18" ht="15.75">
      <c r="A47" s="380">
        <v>34</v>
      </c>
      <c r="B47" s="381" t="s">
        <v>956</v>
      </c>
      <c r="C47" s="391"/>
      <c r="D47" s="502">
        <f>86.89+85.08+0.03-62.72</f>
        <v>109.28</v>
      </c>
      <c r="E47" s="418">
        <f>9.78+2.77-7.41</f>
        <v>5.139999999999999</v>
      </c>
      <c r="F47" s="384"/>
      <c r="G47" s="385"/>
      <c r="H47" s="385">
        <f t="shared" si="2"/>
        <v>114.42</v>
      </c>
      <c r="I47" s="386"/>
      <c r="J47" s="386">
        <v>0.05</v>
      </c>
      <c r="K47" s="385">
        <f t="shared" si="3"/>
        <v>0.05</v>
      </c>
      <c r="L47" s="385"/>
      <c r="M47" s="385">
        <f>H47+K47+L47</f>
        <v>114.47</v>
      </c>
      <c r="N47" s="385">
        <f t="shared" si="4"/>
        <v>0</v>
      </c>
      <c r="O47" s="385"/>
      <c r="P47" s="385"/>
      <c r="Q47" s="386">
        <f t="shared" si="7"/>
        <v>0</v>
      </c>
      <c r="R47" s="386">
        <f t="shared" si="1"/>
        <v>0</v>
      </c>
    </row>
    <row r="48" spans="1:18" ht="15.75">
      <c r="A48" s="380">
        <v>35</v>
      </c>
      <c r="B48" s="381" t="s">
        <v>432</v>
      </c>
      <c r="C48" s="382"/>
      <c r="D48" s="389">
        <f>179.17-25</f>
        <v>154.17</v>
      </c>
      <c r="E48" s="383"/>
      <c r="F48" s="384">
        <v>5.51</v>
      </c>
      <c r="G48" s="385"/>
      <c r="H48" s="385">
        <f t="shared" si="2"/>
        <v>159.67999999999998</v>
      </c>
      <c r="I48" s="388"/>
      <c r="J48" s="386">
        <v>0.5</v>
      </c>
      <c r="K48" s="385">
        <f t="shared" si="3"/>
        <v>0.5</v>
      </c>
      <c r="L48" s="385"/>
      <c r="M48" s="385">
        <f>H48+K48+L48</f>
        <v>160.17999999999998</v>
      </c>
      <c r="N48" s="385">
        <f t="shared" si="4"/>
        <v>0</v>
      </c>
      <c r="O48" s="385"/>
      <c r="P48" s="385"/>
      <c r="Q48" s="386">
        <f t="shared" si="7"/>
        <v>0</v>
      </c>
      <c r="R48" s="386">
        <f t="shared" si="1"/>
        <v>0</v>
      </c>
    </row>
    <row r="49" spans="1:18" ht="15.75">
      <c r="A49" s="380">
        <v>36</v>
      </c>
      <c r="B49" s="381" t="s">
        <v>437</v>
      </c>
      <c r="C49" s="382"/>
      <c r="D49" s="389"/>
      <c r="E49" s="383"/>
      <c r="F49" s="384"/>
      <c r="G49" s="385">
        <f>D49+E49+F49</f>
        <v>0</v>
      </c>
      <c r="H49" s="385">
        <f t="shared" si="2"/>
        <v>0</v>
      </c>
      <c r="I49" s="388"/>
      <c r="J49" s="388"/>
      <c r="K49" s="385">
        <f t="shared" si="3"/>
        <v>0</v>
      </c>
      <c r="L49" s="385"/>
      <c r="M49" s="385">
        <f>H49+K49+L49</f>
        <v>0</v>
      </c>
      <c r="N49" s="385">
        <f t="shared" si="4"/>
        <v>0</v>
      </c>
      <c r="O49" s="385"/>
      <c r="P49" s="385"/>
      <c r="Q49" s="386">
        <f t="shared" si="7"/>
        <v>0</v>
      </c>
      <c r="R49" s="386">
        <f t="shared" si="1"/>
        <v>0</v>
      </c>
    </row>
    <row r="50" spans="1:18" ht="15.75">
      <c r="A50" s="380">
        <v>37</v>
      </c>
      <c r="B50" s="381" t="s">
        <v>917</v>
      </c>
      <c r="C50" s="393"/>
      <c r="D50" s="389"/>
      <c r="E50" s="383"/>
      <c r="F50" s="384"/>
      <c r="G50" s="385">
        <f>D50+E50+F50</f>
        <v>0</v>
      </c>
      <c r="H50" s="385">
        <f>D50+E50+F50-G50</f>
        <v>0</v>
      </c>
      <c r="I50" s="388">
        <v>0.03</v>
      </c>
      <c r="J50" s="386"/>
      <c r="K50" s="385">
        <f t="shared" si="3"/>
        <v>0.03</v>
      </c>
      <c r="L50" s="385"/>
      <c r="M50" s="385"/>
      <c r="N50" s="385">
        <f t="shared" si="4"/>
        <v>0.03</v>
      </c>
      <c r="O50" s="385"/>
      <c r="P50" s="385"/>
      <c r="Q50" s="386">
        <f t="shared" si="7"/>
        <v>0.03</v>
      </c>
      <c r="R50" s="386">
        <f t="shared" si="1"/>
        <v>0</v>
      </c>
    </row>
    <row r="51" spans="1:18" ht="31.5">
      <c r="A51" s="380">
        <v>38</v>
      </c>
      <c r="B51" s="381" t="s">
        <v>918</v>
      </c>
      <c r="C51" s="382"/>
      <c r="D51" s="389">
        <v>0.03</v>
      </c>
      <c r="E51" s="383"/>
      <c r="F51" s="384"/>
      <c r="G51" s="385"/>
      <c r="H51" s="385">
        <f>D51+E51+F51-G51</f>
        <v>0.03</v>
      </c>
      <c r="I51" s="386"/>
      <c r="J51" s="388"/>
      <c r="K51" s="385">
        <f t="shared" si="3"/>
        <v>0</v>
      </c>
      <c r="L51" s="385"/>
      <c r="M51" s="385"/>
      <c r="N51" s="385">
        <f t="shared" si="4"/>
        <v>0.03</v>
      </c>
      <c r="O51" s="385"/>
      <c r="P51" s="385"/>
      <c r="Q51" s="386">
        <f t="shared" si="7"/>
        <v>0.03</v>
      </c>
      <c r="R51" s="386">
        <f t="shared" si="1"/>
        <v>0</v>
      </c>
    </row>
    <row r="52" spans="1:18" ht="15.75">
      <c r="A52" s="380">
        <v>39</v>
      </c>
      <c r="B52" s="381" t="s">
        <v>919</v>
      </c>
      <c r="C52" s="382"/>
      <c r="D52" s="389">
        <f>18.12+1.4</f>
        <v>19.52</v>
      </c>
      <c r="E52" s="383">
        <v>-0.27</v>
      </c>
      <c r="F52" s="384"/>
      <c r="G52" s="385"/>
      <c r="H52" s="385">
        <f>D52+E52+F52-G52</f>
        <v>19.25</v>
      </c>
      <c r="I52" s="386">
        <v>0.65</v>
      </c>
      <c r="J52" s="386"/>
      <c r="K52" s="385">
        <f t="shared" si="3"/>
        <v>0.65</v>
      </c>
      <c r="L52" s="385"/>
      <c r="M52" s="385"/>
      <c r="N52" s="385">
        <f t="shared" si="4"/>
        <v>19.9</v>
      </c>
      <c r="O52" s="385"/>
      <c r="P52" s="385"/>
      <c r="Q52" s="386">
        <f t="shared" si="7"/>
        <v>19.9</v>
      </c>
      <c r="R52" s="386">
        <f t="shared" si="1"/>
        <v>0</v>
      </c>
    </row>
    <row r="53" spans="1:18" ht="15.75">
      <c r="A53" s="380">
        <v>40</v>
      </c>
      <c r="B53" s="381" t="s">
        <v>286</v>
      </c>
      <c r="C53" s="382"/>
      <c r="D53" s="389"/>
      <c r="E53" s="383"/>
      <c r="F53" s="384"/>
      <c r="G53" s="385"/>
      <c r="H53" s="385"/>
      <c r="I53" s="386">
        <v>0.35</v>
      </c>
      <c r="J53" s="386"/>
      <c r="K53" s="385">
        <f t="shared" si="3"/>
        <v>0.35</v>
      </c>
      <c r="L53" s="385"/>
      <c r="M53" s="385"/>
      <c r="N53" s="385">
        <f t="shared" si="4"/>
        <v>0.35</v>
      </c>
      <c r="O53" s="385"/>
      <c r="P53" s="385"/>
      <c r="Q53" s="386">
        <f t="shared" si="7"/>
        <v>0.35</v>
      </c>
      <c r="R53" s="386">
        <f t="shared" si="1"/>
        <v>0</v>
      </c>
    </row>
    <row r="54" spans="1:18" ht="15.75">
      <c r="A54" s="380">
        <v>41</v>
      </c>
      <c r="B54" s="381" t="s">
        <v>920</v>
      </c>
      <c r="C54" s="391"/>
      <c r="D54" s="389"/>
      <c r="E54" s="383">
        <v>-1.55</v>
      </c>
      <c r="F54" s="384"/>
      <c r="G54" s="385">
        <f>D54+E54+F54</f>
        <v>-1.55</v>
      </c>
      <c r="H54" s="385">
        <f>D54+E54+F54-G54</f>
        <v>0</v>
      </c>
      <c r="I54" s="386"/>
      <c r="J54" s="388"/>
      <c r="K54" s="385">
        <f t="shared" si="3"/>
        <v>0</v>
      </c>
      <c r="L54" s="385"/>
      <c r="M54" s="385">
        <f>H54+K54+L54</f>
        <v>0</v>
      </c>
      <c r="N54" s="385">
        <f t="shared" si="4"/>
        <v>0</v>
      </c>
      <c r="O54" s="385"/>
      <c r="P54" s="385"/>
      <c r="Q54" s="386">
        <f t="shared" si="7"/>
        <v>0</v>
      </c>
      <c r="R54" s="386">
        <f t="shared" si="1"/>
        <v>0</v>
      </c>
    </row>
    <row r="55" spans="1:18" ht="15.75">
      <c r="A55" s="380">
        <v>42</v>
      </c>
      <c r="B55" s="381" t="s">
        <v>921</v>
      </c>
      <c r="C55" s="382"/>
      <c r="D55" s="389">
        <v>1.65</v>
      </c>
      <c r="E55" s="383"/>
      <c r="F55" s="384"/>
      <c r="G55" s="385">
        <f>D55+E55+F55</f>
        <v>1.65</v>
      </c>
      <c r="H55" s="385">
        <f>D55+E55+F55-G55</f>
        <v>0</v>
      </c>
      <c r="I55" s="386">
        <v>2.23</v>
      </c>
      <c r="J55" s="386">
        <v>2.75</v>
      </c>
      <c r="K55" s="385">
        <f t="shared" si="3"/>
        <v>4.98</v>
      </c>
      <c r="L55" s="385"/>
      <c r="M55" s="385"/>
      <c r="N55" s="385">
        <f t="shared" si="4"/>
        <v>4.98</v>
      </c>
      <c r="O55" s="386">
        <v>8.07</v>
      </c>
      <c r="P55" s="385"/>
      <c r="Q55" s="386">
        <f t="shared" si="7"/>
        <v>13.05</v>
      </c>
      <c r="R55" s="386">
        <f t="shared" si="1"/>
        <v>0</v>
      </c>
    </row>
    <row r="56" spans="1:18" ht="15.75">
      <c r="A56" s="380">
        <v>43</v>
      </c>
      <c r="B56" s="381" t="s">
        <v>1390</v>
      </c>
      <c r="C56" s="382"/>
      <c r="D56" s="389">
        <v>0.1</v>
      </c>
      <c r="E56" s="383"/>
      <c r="F56" s="384"/>
      <c r="G56" s="385"/>
      <c r="H56" s="385">
        <f>D56+E56+F56-G56</f>
        <v>0.1</v>
      </c>
      <c r="I56" s="386"/>
      <c r="J56" s="386">
        <v>6</v>
      </c>
      <c r="K56" s="385">
        <f t="shared" si="3"/>
        <v>6</v>
      </c>
      <c r="L56" s="385"/>
      <c r="M56" s="385"/>
      <c r="N56" s="385">
        <f t="shared" si="4"/>
        <v>6.1</v>
      </c>
      <c r="O56" s="388">
        <f>57.26-6</f>
        <v>51.26</v>
      </c>
      <c r="P56" s="385"/>
      <c r="Q56" s="386"/>
      <c r="R56" s="386">
        <f t="shared" si="1"/>
        <v>57.36</v>
      </c>
    </row>
    <row r="57" spans="1:27" ht="15.75">
      <c r="A57" s="380">
        <v>44</v>
      </c>
      <c r="B57" s="381" t="s">
        <v>922</v>
      </c>
      <c r="C57" s="382"/>
      <c r="D57" s="389">
        <v>3.54</v>
      </c>
      <c r="E57" s="389">
        <v>-0.01</v>
      </c>
      <c r="F57" s="390"/>
      <c r="G57" s="385"/>
      <c r="H57" s="385">
        <f aca="true" t="shared" si="8" ref="H57:H78">D57+E57+F57-G57</f>
        <v>3.5300000000000002</v>
      </c>
      <c r="I57" s="382"/>
      <c r="J57" s="394"/>
      <c r="K57" s="385">
        <f t="shared" si="3"/>
        <v>0</v>
      </c>
      <c r="L57" s="385"/>
      <c r="M57" s="385"/>
      <c r="N57" s="385">
        <f t="shared" si="4"/>
        <v>3.5300000000000002</v>
      </c>
      <c r="O57" s="385"/>
      <c r="P57" s="385"/>
      <c r="Q57" s="386">
        <f aca="true" t="shared" si="9" ref="Q57:Q64">N57+O57+P57</f>
        <v>3.5300000000000002</v>
      </c>
      <c r="R57" s="386">
        <f t="shared" si="1"/>
        <v>0</v>
      </c>
      <c r="S57" s="395">
        <f>SUM(S10:S56)</f>
        <v>0</v>
      </c>
      <c r="T57" s="396"/>
      <c r="U57" s="396"/>
      <c r="V57" s="396"/>
      <c r="W57" s="396"/>
      <c r="X57" s="396"/>
      <c r="Y57" s="396"/>
      <c r="Z57" s="396"/>
      <c r="AA57" s="396" t="e">
        <f>SUM(AA10:AA113)</f>
        <v>#VALUE!</v>
      </c>
    </row>
    <row r="58" spans="1:18" ht="15.75">
      <c r="A58" s="380">
        <v>45</v>
      </c>
      <c r="B58" s="381" t="s">
        <v>923</v>
      </c>
      <c r="C58" s="382"/>
      <c r="D58" s="389">
        <v>0.06</v>
      </c>
      <c r="E58" s="389">
        <v>0.45</v>
      </c>
      <c r="F58" s="390"/>
      <c r="G58" s="385">
        <f>D58+E58+F58</f>
        <v>0.51</v>
      </c>
      <c r="H58" s="385">
        <f t="shared" si="8"/>
        <v>0</v>
      </c>
      <c r="I58" s="386"/>
      <c r="J58" s="388"/>
      <c r="K58" s="385">
        <f t="shared" si="3"/>
        <v>0</v>
      </c>
      <c r="L58" s="385"/>
      <c r="M58" s="385">
        <f>H58+K58+L58</f>
        <v>0</v>
      </c>
      <c r="N58" s="385">
        <f t="shared" si="4"/>
        <v>0</v>
      </c>
      <c r="O58" s="385"/>
      <c r="P58" s="385"/>
      <c r="Q58" s="386">
        <f t="shared" si="9"/>
        <v>0</v>
      </c>
      <c r="R58" s="386">
        <f t="shared" si="1"/>
        <v>0</v>
      </c>
    </row>
    <row r="59" spans="1:18" ht="15.75">
      <c r="A59" s="380">
        <v>46</v>
      </c>
      <c r="B59" s="381" t="s">
        <v>924</v>
      </c>
      <c r="C59" s="382"/>
      <c r="D59" s="389"/>
      <c r="E59" s="389">
        <v>-0.51</v>
      </c>
      <c r="F59" s="390"/>
      <c r="G59" s="385">
        <f>D59+E59+F59</f>
        <v>-0.51</v>
      </c>
      <c r="H59" s="385">
        <f t="shared" si="8"/>
        <v>0</v>
      </c>
      <c r="I59" s="388"/>
      <c r="J59" s="386"/>
      <c r="K59" s="385">
        <f t="shared" si="3"/>
        <v>0</v>
      </c>
      <c r="L59" s="385"/>
      <c r="M59" s="385">
        <f>H59+K59+L59</f>
        <v>0</v>
      </c>
      <c r="N59" s="385">
        <f t="shared" si="4"/>
        <v>0</v>
      </c>
      <c r="O59" s="385"/>
      <c r="P59" s="385"/>
      <c r="Q59" s="386">
        <f t="shared" si="9"/>
        <v>0</v>
      </c>
      <c r="R59" s="386">
        <f t="shared" si="1"/>
        <v>0</v>
      </c>
    </row>
    <row r="60" spans="1:18" ht="15.75">
      <c r="A60" s="380">
        <v>47</v>
      </c>
      <c r="B60" s="381" t="s">
        <v>275</v>
      </c>
      <c r="C60" s="382"/>
      <c r="D60" s="389">
        <f>4.12+0.4</f>
        <v>4.5200000000000005</v>
      </c>
      <c r="E60" s="389">
        <v>3.44</v>
      </c>
      <c r="F60" s="384"/>
      <c r="G60" s="385"/>
      <c r="H60" s="385">
        <f t="shared" si="8"/>
        <v>7.960000000000001</v>
      </c>
      <c r="I60" s="386">
        <v>2.02</v>
      </c>
      <c r="J60" s="386">
        <v>2.5</v>
      </c>
      <c r="K60" s="385">
        <f t="shared" si="3"/>
        <v>4.52</v>
      </c>
      <c r="L60" s="385"/>
      <c r="M60" s="385"/>
      <c r="N60" s="385">
        <f t="shared" si="4"/>
        <v>12.48</v>
      </c>
      <c r="O60" s="385">
        <v>4.47</v>
      </c>
      <c r="P60" s="385"/>
      <c r="Q60" s="386">
        <f t="shared" si="9"/>
        <v>16.95</v>
      </c>
      <c r="R60" s="386">
        <f t="shared" si="1"/>
        <v>0</v>
      </c>
    </row>
    <row r="61" spans="1:18" ht="15.75">
      <c r="A61" s="380">
        <v>48</v>
      </c>
      <c r="B61" s="381" t="s">
        <v>271</v>
      </c>
      <c r="C61" s="382"/>
      <c r="D61" s="389"/>
      <c r="E61" s="389"/>
      <c r="F61" s="384"/>
      <c r="G61" s="385">
        <f>D61+E61+F61</f>
        <v>0</v>
      </c>
      <c r="H61" s="385">
        <f t="shared" si="8"/>
        <v>0</v>
      </c>
      <c r="I61" s="385">
        <v>0</v>
      </c>
      <c r="J61" s="385"/>
      <c r="K61" s="385">
        <f t="shared" si="3"/>
        <v>0</v>
      </c>
      <c r="L61" s="385"/>
      <c r="M61" s="385">
        <f>H61+K61+L61</f>
        <v>0</v>
      </c>
      <c r="N61" s="385">
        <f t="shared" si="4"/>
        <v>0</v>
      </c>
      <c r="O61" s="385"/>
      <c r="P61" s="385"/>
      <c r="Q61" s="386">
        <f t="shared" si="9"/>
        <v>0</v>
      </c>
      <c r="R61" s="386">
        <f t="shared" si="1"/>
        <v>0</v>
      </c>
    </row>
    <row r="62" spans="1:18" ht="47.25">
      <c r="A62" s="380">
        <v>49</v>
      </c>
      <c r="B62" s="381" t="s">
        <v>19</v>
      </c>
      <c r="C62" s="382"/>
      <c r="D62" s="382"/>
      <c r="E62" s="388"/>
      <c r="F62" s="382"/>
      <c r="G62" s="385">
        <f>D62+E62+F62</f>
        <v>0</v>
      </c>
      <c r="H62" s="385">
        <f t="shared" si="8"/>
        <v>0</v>
      </c>
      <c r="I62" s="382">
        <v>0.08</v>
      </c>
      <c r="J62" s="386">
        <v>0.3</v>
      </c>
      <c r="K62" s="385">
        <f t="shared" si="3"/>
        <v>0.38</v>
      </c>
      <c r="L62" s="382"/>
      <c r="M62" s="385">
        <f>H62+K62+L62</f>
        <v>0.38</v>
      </c>
      <c r="N62" s="385">
        <f t="shared" si="4"/>
        <v>0</v>
      </c>
      <c r="O62" s="382"/>
      <c r="P62" s="382"/>
      <c r="Q62" s="386">
        <f t="shared" si="9"/>
        <v>0</v>
      </c>
      <c r="R62" s="386">
        <f t="shared" si="1"/>
        <v>0</v>
      </c>
    </row>
    <row r="63" spans="1:18" ht="31.5">
      <c r="A63" s="380">
        <v>50</v>
      </c>
      <c r="B63" s="381" t="s">
        <v>287</v>
      </c>
      <c r="C63" s="382"/>
      <c r="D63" s="389">
        <v>0.07</v>
      </c>
      <c r="E63" s="389"/>
      <c r="F63" s="384"/>
      <c r="G63" s="385"/>
      <c r="H63" s="385">
        <f t="shared" si="8"/>
        <v>0.07</v>
      </c>
      <c r="I63" s="385"/>
      <c r="J63" s="385">
        <v>2</v>
      </c>
      <c r="K63" s="385">
        <v>2</v>
      </c>
      <c r="L63" s="385"/>
      <c r="M63" s="385"/>
      <c r="N63" s="385">
        <f t="shared" si="4"/>
        <v>2.07</v>
      </c>
      <c r="O63" s="385">
        <v>6</v>
      </c>
      <c r="P63" s="385"/>
      <c r="Q63" s="386">
        <f t="shared" si="9"/>
        <v>8.07</v>
      </c>
      <c r="R63" s="386">
        <f t="shared" si="1"/>
        <v>0</v>
      </c>
    </row>
    <row r="64" spans="1:18" ht="31.5">
      <c r="A64" s="380">
        <v>51</v>
      </c>
      <c r="B64" s="381" t="s">
        <v>306</v>
      </c>
      <c r="C64" s="382"/>
      <c r="D64" s="389">
        <v>0.22</v>
      </c>
      <c r="E64" s="389">
        <f>0.37+0.02</f>
        <v>0.39</v>
      </c>
      <c r="F64" s="384"/>
      <c r="G64" s="385">
        <v>0.02</v>
      </c>
      <c r="H64" s="385">
        <f t="shared" si="8"/>
        <v>0.59</v>
      </c>
      <c r="I64" s="385"/>
      <c r="J64" s="385">
        <v>4</v>
      </c>
      <c r="K64" s="385">
        <v>4</v>
      </c>
      <c r="L64" s="385"/>
      <c r="M64" s="385"/>
      <c r="N64" s="385">
        <f t="shared" si="4"/>
        <v>4.59</v>
      </c>
      <c r="O64" s="385">
        <v>12</v>
      </c>
      <c r="P64" s="385"/>
      <c r="Q64" s="386">
        <f t="shared" si="9"/>
        <v>16.59</v>
      </c>
      <c r="R64" s="386">
        <f t="shared" si="1"/>
        <v>0</v>
      </c>
    </row>
    <row r="65" spans="1:18" ht="15.75">
      <c r="A65" s="380">
        <v>52</v>
      </c>
      <c r="B65" s="381" t="s">
        <v>1391</v>
      </c>
      <c r="C65" s="382"/>
      <c r="D65" s="382">
        <f>0.08+0.04</f>
        <v>0.12</v>
      </c>
      <c r="E65" s="382"/>
      <c r="F65" s="382"/>
      <c r="G65" s="385"/>
      <c r="H65" s="385">
        <f t="shared" si="8"/>
        <v>0.12</v>
      </c>
      <c r="I65" s="382"/>
      <c r="J65" s="386">
        <v>7.9</v>
      </c>
      <c r="K65" s="385">
        <f aca="true" t="shared" si="10" ref="K65:K73">I65+J65</f>
        <v>7.9</v>
      </c>
      <c r="L65" s="382"/>
      <c r="M65" s="385"/>
      <c r="N65" s="385">
        <f t="shared" si="4"/>
        <v>8.02</v>
      </c>
      <c r="O65" s="382">
        <v>4.36</v>
      </c>
      <c r="P65" s="382"/>
      <c r="Q65" s="386"/>
      <c r="R65" s="386">
        <f t="shared" si="1"/>
        <v>12.379999999999999</v>
      </c>
    </row>
    <row r="66" spans="1:18" ht="47.25">
      <c r="A66" s="380">
        <v>53</v>
      </c>
      <c r="B66" s="381" t="s">
        <v>18</v>
      </c>
      <c r="C66" s="382"/>
      <c r="D66" s="382">
        <f>0.12+2.41</f>
        <v>2.5300000000000002</v>
      </c>
      <c r="E66" s="382">
        <f>0.06+0.81</f>
        <v>0.8700000000000001</v>
      </c>
      <c r="F66" s="382"/>
      <c r="G66" s="385"/>
      <c r="H66" s="385">
        <f t="shared" si="8"/>
        <v>3.4000000000000004</v>
      </c>
      <c r="I66" s="382">
        <v>1.95</v>
      </c>
      <c r="J66" s="386">
        <v>14.57</v>
      </c>
      <c r="K66" s="385">
        <f t="shared" si="10"/>
        <v>16.52</v>
      </c>
      <c r="L66" s="382"/>
      <c r="M66" s="385"/>
      <c r="N66" s="385">
        <f t="shared" si="4"/>
        <v>19.92</v>
      </c>
      <c r="O66" s="382">
        <v>12.75</v>
      </c>
      <c r="P66" s="382"/>
      <c r="Q66" s="386">
        <f>N66+O66+P66</f>
        <v>32.67</v>
      </c>
      <c r="R66" s="386">
        <f t="shared" si="1"/>
        <v>0</v>
      </c>
    </row>
    <row r="67" spans="1:255" s="397" customFormat="1" ht="47.25">
      <c r="A67" s="380">
        <v>54</v>
      </c>
      <c r="B67" s="381" t="s">
        <v>1403</v>
      </c>
      <c r="C67" s="388"/>
      <c r="D67" s="388">
        <v>0.1</v>
      </c>
      <c r="E67" s="382"/>
      <c r="F67" s="388"/>
      <c r="G67" s="385"/>
      <c r="H67" s="385">
        <f t="shared" si="8"/>
        <v>0.1</v>
      </c>
      <c r="I67" s="388"/>
      <c r="J67" s="386">
        <v>13.83</v>
      </c>
      <c r="K67" s="385">
        <f t="shared" si="10"/>
        <v>13.83</v>
      </c>
      <c r="L67" s="388"/>
      <c r="M67" s="385"/>
      <c r="N67" s="385">
        <f t="shared" si="4"/>
        <v>13.93</v>
      </c>
      <c r="O67" s="386"/>
      <c r="P67" s="388"/>
      <c r="Q67" s="386">
        <f>N67+O67+P67</f>
        <v>13.93</v>
      </c>
      <c r="R67" s="386">
        <f t="shared" si="1"/>
        <v>0</v>
      </c>
      <c r="IU67" s="387"/>
    </row>
    <row r="68" spans="1:255" s="397" customFormat="1" ht="31.5">
      <c r="A68" s="380">
        <v>55</v>
      </c>
      <c r="B68" s="381" t="s">
        <v>1358</v>
      </c>
      <c r="C68" s="388"/>
      <c r="D68" s="388"/>
      <c r="E68" s="382"/>
      <c r="F68" s="388"/>
      <c r="G68" s="385">
        <f>D68+E68+F68</f>
        <v>0</v>
      </c>
      <c r="H68" s="385">
        <f t="shared" si="8"/>
        <v>0</v>
      </c>
      <c r="I68" s="382">
        <v>1.67</v>
      </c>
      <c r="J68" s="386">
        <v>3</v>
      </c>
      <c r="K68" s="385">
        <f t="shared" si="10"/>
        <v>4.67</v>
      </c>
      <c r="L68" s="388"/>
      <c r="M68" s="385"/>
      <c r="N68" s="385">
        <f t="shared" si="4"/>
        <v>4.67</v>
      </c>
      <c r="O68" s="386">
        <v>13.01</v>
      </c>
      <c r="P68" s="388"/>
      <c r="Q68" s="386"/>
      <c r="R68" s="386">
        <f t="shared" si="1"/>
        <v>17.68</v>
      </c>
      <c r="IU68" s="387"/>
    </row>
    <row r="69" spans="1:255" s="397" customFormat="1" ht="47.25">
      <c r="A69" s="380">
        <v>56</v>
      </c>
      <c r="B69" s="381" t="s">
        <v>1404</v>
      </c>
      <c r="C69" s="388"/>
      <c r="D69" s="388"/>
      <c r="E69" s="382"/>
      <c r="F69" s="388"/>
      <c r="G69" s="385">
        <f>D69+E69+F69</f>
        <v>0</v>
      </c>
      <c r="H69" s="385">
        <f t="shared" si="8"/>
        <v>0</v>
      </c>
      <c r="I69" s="388"/>
      <c r="J69" s="386">
        <v>2</v>
      </c>
      <c r="K69" s="385">
        <f t="shared" si="10"/>
        <v>2</v>
      </c>
      <c r="L69" s="388"/>
      <c r="M69" s="385"/>
      <c r="N69" s="385">
        <f t="shared" si="4"/>
        <v>2</v>
      </c>
      <c r="O69" s="386">
        <v>2</v>
      </c>
      <c r="P69" s="388"/>
      <c r="Q69" s="386"/>
      <c r="R69" s="386">
        <f t="shared" si="1"/>
        <v>4</v>
      </c>
      <c r="IU69" s="387"/>
    </row>
    <row r="70" spans="1:255" s="397" customFormat="1" ht="31.5">
      <c r="A70" s="380">
        <v>57</v>
      </c>
      <c r="B70" s="381" t="s">
        <v>1405</v>
      </c>
      <c r="C70" s="388"/>
      <c r="D70" s="388"/>
      <c r="E70" s="382"/>
      <c r="F70" s="388"/>
      <c r="G70" s="385">
        <f>D70+E70+F70</f>
        <v>0</v>
      </c>
      <c r="H70" s="385">
        <f t="shared" si="8"/>
        <v>0</v>
      </c>
      <c r="I70" s="388">
        <v>1.91</v>
      </c>
      <c r="J70" s="386">
        <v>13.65</v>
      </c>
      <c r="K70" s="385">
        <f t="shared" si="10"/>
        <v>15.56</v>
      </c>
      <c r="L70" s="388"/>
      <c r="M70" s="385"/>
      <c r="N70" s="385">
        <f t="shared" si="4"/>
        <v>15.56</v>
      </c>
      <c r="O70" s="386">
        <v>3.92</v>
      </c>
      <c r="P70" s="388"/>
      <c r="Q70" s="386">
        <f>N70+O70+P70</f>
        <v>19.48</v>
      </c>
      <c r="R70" s="386">
        <f t="shared" si="1"/>
        <v>0</v>
      </c>
      <c r="IU70" s="387"/>
    </row>
    <row r="71" spans="1:255" s="397" customFormat="1" ht="15.75">
      <c r="A71" s="380">
        <v>58</v>
      </c>
      <c r="B71" s="381" t="s">
        <v>1406</v>
      </c>
      <c r="C71" s="388"/>
      <c r="D71" s="388"/>
      <c r="E71" s="382">
        <v>-0.12</v>
      </c>
      <c r="F71" s="388"/>
      <c r="G71" s="385">
        <v>-0.09</v>
      </c>
      <c r="H71" s="385">
        <f t="shared" si="8"/>
        <v>-0.03</v>
      </c>
      <c r="I71" s="388"/>
      <c r="J71" s="386">
        <v>2.9</v>
      </c>
      <c r="K71" s="385">
        <f t="shared" si="10"/>
        <v>2.9</v>
      </c>
      <c r="L71" s="388"/>
      <c r="M71" s="385"/>
      <c r="N71" s="385">
        <f t="shared" si="4"/>
        <v>2.87</v>
      </c>
      <c r="O71" s="386"/>
      <c r="P71" s="388"/>
      <c r="Q71" s="386">
        <f>N71+O71+P71</f>
        <v>2.87</v>
      </c>
      <c r="R71" s="386">
        <f t="shared" si="1"/>
        <v>0</v>
      </c>
      <c r="IU71" s="387"/>
    </row>
    <row r="72" spans="1:255" s="397" customFormat="1" ht="15.75">
      <c r="A72" s="380">
        <v>59</v>
      </c>
      <c r="B72" s="381" t="s">
        <v>1407</v>
      </c>
      <c r="C72" s="388"/>
      <c r="D72" s="388"/>
      <c r="E72" s="382"/>
      <c r="F72" s="388"/>
      <c r="G72" s="385">
        <f>D72+E72+F72</f>
        <v>0</v>
      </c>
      <c r="H72" s="385">
        <f t="shared" si="8"/>
        <v>0</v>
      </c>
      <c r="I72" s="388"/>
      <c r="J72" s="386">
        <v>9.47</v>
      </c>
      <c r="K72" s="385">
        <f t="shared" si="10"/>
        <v>9.47</v>
      </c>
      <c r="L72" s="388"/>
      <c r="M72" s="385"/>
      <c r="N72" s="385">
        <f t="shared" si="4"/>
        <v>9.47</v>
      </c>
      <c r="O72" s="386">
        <v>3.88</v>
      </c>
      <c r="P72" s="388"/>
      <c r="Q72" s="386"/>
      <c r="R72" s="386">
        <f t="shared" si="1"/>
        <v>13.350000000000001</v>
      </c>
      <c r="IU72" s="387"/>
    </row>
    <row r="73" spans="1:255" s="397" customFormat="1" ht="47.25">
      <c r="A73" s="380">
        <v>60</v>
      </c>
      <c r="B73" s="381" t="s">
        <v>1409</v>
      </c>
      <c r="C73" s="388"/>
      <c r="D73" s="388"/>
      <c r="E73" s="382"/>
      <c r="F73" s="388"/>
      <c r="G73" s="385">
        <f>D73+E73+F73</f>
        <v>0</v>
      </c>
      <c r="H73" s="385">
        <f t="shared" si="8"/>
        <v>0</v>
      </c>
      <c r="I73" s="388"/>
      <c r="J73" s="386">
        <v>4</v>
      </c>
      <c r="K73" s="385">
        <f t="shared" si="10"/>
        <v>4</v>
      </c>
      <c r="L73" s="388"/>
      <c r="M73" s="385"/>
      <c r="N73" s="385">
        <f t="shared" si="4"/>
        <v>4</v>
      </c>
      <c r="O73" s="386">
        <v>10.29</v>
      </c>
      <c r="P73" s="388"/>
      <c r="Q73" s="386"/>
      <c r="R73" s="386">
        <f t="shared" si="1"/>
        <v>14.29</v>
      </c>
      <c r="IU73" s="387"/>
    </row>
    <row r="74" spans="1:255" s="397" customFormat="1" ht="15.75">
      <c r="A74" s="380">
        <v>61</v>
      </c>
      <c r="B74" s="381" t="s">
        <v>307</v>
      </c>
      <c r="C74" s="388"/>
      <c r="D74" s="388">
        <v>0.1</v>
      </c>
      <c r="E74" s="382">
        <v>2.7</v>
      </c>
      <c r="F74" s="388">
        <f>0.72+0.03</f>
        <v>0.75</v>
      </c>
      <c r="G74" s="385">
        <f>D74+E74+F74</f>
        <v>3.5500000000000003</v>
      </c>
      <c r="H74" s="385">
        <f t="shared" si="8"/>
        <v>0</v>
      </c>
      <c r="I74" s="388"/>
      <c r="J74" s="386"/>
      <c r="K74" s="385"/>
      <c r="L74" s="388"/>
      <c r="M74" s="385">
        <f>H74+K74+L74</f>
        <v>0</v>
      </c>
      <c r="N74" s="385">
        <f t="shared" si="4"/>
        <v>0</v>
      </c>
      <c r="O74" s="386"/>
      <c r="P74" s="388"/>
      <c r="Q74" s="386">
        <f>N74+O74+P74</f>
        <v>0</v>
      </c>
      <c r="R74" s="386">
        <f>N74+O74+P74-Q74</f>
        <v>0</v>
      </c>
      <c r="IU74" s="387"/>
    </row>
    <row r="75" spans="1:255" s="397" customFormat="1" ht="15.75">
      <c r="A75" s="380">
        <v>62</v>
      </c>
      <c r="B75" s="381" t="s">
        <v>308</v>
      </c>
      <c r="C75" s="388"/>
      <c r="D75" s="388">
        <v>0.54</v>
      </c>
      <c r="E75" s="382"/>
      <c r="F75" s="388"/>
      <c r="G75" s="385">
        <f>D75+E75+F75</f>
        <v>0.54</v>
      </c>
      <c r="H75" s="385">
        <f t="shared" si="8"/>
        <v>0</v>
      </c>
      <c r="I75" s="388"/>
      <c r="J75" s="386"/>
      <c r="K75" s="385"/>
      <c r="L75" s="388"/>
      <c r="M75" s="385">
        <f>H75+K75+L75</f>
        <v>0</v>
      </c>
      <c r="N75" s="385">
        <f>H75+K75+L75-M75</f>
        <v>0</v>
      </c>
      <c r="O75" s="386"/>
      <c r="P75" s="388"/>
      <c r="Q75" s="386">
        <f>N75+O75+P75</f>
        <v>0</v>
      </c>
      <c r="R75" s="386">
        <f>N75+O75+P75-Q75</f>
        <v>0</v>
      </c>
      <c r="IU75" s="387"/>
    </row>
    <row r="76" spans="1:255" s="397" customFormat="1" ht="15.75">
      <c r="A76" s="380">
        <v>63</v>
      </c>
      <c r="B76" s="381" t="s">
        <v>309</v>
      </c>
      <c r="C76" s="388"/>
      <c r="D76" s="388"/>
      <c r="E76" s="382">
        <v>0.01</v>
      </c>
      <c r="F76" s="388"/>
      <c r="G76" s="385"/>
      <c r="H76" s="385">
        <f t="shared" si="8"/>
        <v>0.01</v>
      </c>
      <c r="I76" s="388"/>
      <c r="J76" s="386"/>
      <c r="K76" s="385"/>
      <c r="L76" s="388"/>
      <c r="M76" s="385"/>
      <c r="N76" s="385">
        <f>H76+K76+L76-M76</f>
        <v>0.01</v>
      </c>
      <c r="O76" s="386"/>
      <c r="P76" s="388"/>
      <c r="Q76" s="386">
        <f>N76+O76+P76</f>
        <v>0.01</v>
      </c>
      <c r="R76" s="386">
        <f>N76+O76+P76-Q76</f>
        <v>0</v>
      </c>
      <c r="IU76" s="387"/>
    </row>
    <row r="77" spans="1:255" s="397" customFormat="1" ht="15.75">
      <c r="A77" s="380">
        <v>64</v>
      </c>
      <c r="B77" s="381" t="s">
        <v>310</v>
      </c>
      <c r="C77" s="388"/>
      <c r="D77" s="388"/>
      <c r="E77" s="382">
        <v>0.04</v>
      </c>
      <c r="F77" s="388"/>
      <c r="G77" s="385"/>
      <c r="H77" s="385">
        <f t="shared" si="8"/>
        <v>0.04</v>
      </c>
      <c r="I77" s="388"/>
      <c r="J77" s="386"/>
      <c r="K77" s="385"/>
      <c r="L77" s="388"/>
      <c r="M77" s="385"/>
      <c r="N77" s="385">
        <f>H77+K77+L77-M77</f>
        <v>0.04</v>
      </c>
      <c r="O77" s="386"/>
      <c r="P77" s="388"/>
      <c r="Q77" s="386">
        <f>N77+O77+P77</f>
        <v>0.04</v>
      </c>
      <c r="R77" s="386">
        <f>N77+O77+P77-Q77</f>
        <v>0</v>
      </c>
      <c r="IU77" s="387"/>
    </row>
    <row r="78" spans="1:255" s="397" customFormat="1" ht="15.75">
      <c r="A78" s="380">
        <v>65</v>
      </c>
      <c r="B78" s="381" t="s">
        <v>311</v>
      </c>
      <c r="C78" s="388"/>
      <c r="D78" s="388">
        <v>0.52</v>
      </c>
      <c r="E78" s="382"/>
      <c r="F78" s="388"/>
      <c r="G78" s="385">
        <v>0.17</v>
      </c>
      <c r="H78" s="385">
        <f t="shared" si="8"/>
        <v>0.35</v>
      </c>
      <c r="I78" s="388"/>
      <c r="J78" s="386"/>
      <c r="K78" s="385"/>
      <c r="L78" s="388"/>
      <c r="M78" s="385"/>
      <c r="N78" s="385">
        <f>H78+K78+L78-M78</f>
        <v>0.35</v>
      </c>
      <c r="O78" s="386"/>
      <c r="P78" s="388"/>
      <c r="Q78" s="386">
        <f>N78+O78+P78</f>
        <v>0.35</v>
      </c>
      <c r="R78" s="386">
        <f>N78+O78+P78-Q78</f>
        <v>0</v>
      </c>
      <c r="IU78" s="387"/>
    </row>
    <row r="79" spans="1:18" s="397" customFormat="1" ht="15.75">
      <c r="A79" s="497"/>
      <c r="B79" s="398" t="s">
        <v>1345</v>
      </c>
      <c r="C79" s="388"/>
      <c r="D79" s="498">
        <f aca="true" t="shared" si="11" ref="D79:R79">SUM(D11:D78)</f>
        <v>348.7</v>
      </c>
      <c r="E79" s="498">
        <f t="shared" si="11"/>
        <v>86.55000000000003</v>
      </c>
      <c r="F79" s="498">
        <f t="shared" si="11"/>
        <v>8.219999999999999</v>
      </c>
      <c r="G79" s="498">
        <f t="shared" si="11"/>
        <v>9.01</v>
      </c>
      <c r="H79" s="498">
        <f t="shared" si="11"/>
        <v>434.46</v>
      </c>
      <c r="I79" s="498">
        <f t="shared" si="11"/>
        <v>42.61</v>
      </c>
      <c r="J79" s="498">
        <f t="shared" si="11"/>
        <v>161.04999999999998</v>
      </c>
      <c r="K79" s="498">
        <f t="shared" si="11"/>
        <v>203.66000000000003</v>
      </c>
      <c r="L79" s="498">
        <f t="shared" si="11"/>
        <v>0</v>
      </c>
      <c r="M79" s="498">
        <f t="shared" si="11"/>
        <v>344.15999999999997</v>
      </c>
      <c r="N79" s="498">
        <f t="shared" si="11"/>
        <v>293.9600000000001</v>
      </c>
      <c r="O79" s="498">
        <f t="shared" si="11"/>
        <v>242.45999999999995</v>
      </c>
      <c r="P79" s="498">
        <f t="shared" si="11"/>
        <v>0</v>
      </c>
      <c r="Q79" s="498">
        <f t="shared" si="11"/>
        <v>404.96</v>
      </c>
      <c r="R79" s="498">
        <f t="shared" si="11"/>
        <v>131.45999999999998</v>
      </c>
    </row>
    <row r="80" spans="1:18" ht="15.75">
      <c r="A80" s="399" t="s">
        <v>1286</v>
      </c>
      <c r="B80" s="400" t="s">
        <v>1346</v>
      </c>
      <c r="C80" s="382"/>
      <c r="D80" s="382"/>
      <c r="E80" s="382"/>
      <c r="F80" s="382"/>
      <c r="G80" s="385">
        <f>D80+E80+F80</f>
        <v>0</v>
      </c>
      <c r="H80" s="385">
        <f aca="true" t="shared" si="12" ref="H80:H116">D80+E80+F80-G80</f>
        <v>0</v>
      </c>
      <c r="I80" s="382"/>
      <c r="J80" s="382"/>
      <c r="K80" s="385">
        <f aca="true" t="shared" si="13" ref="K80:K123">I80+J80</f>
        <v>0</v>
      </c>
      <c r="L80" s="382"/>
      <c r="M80" s="385">
        <f>H80+K80+L80</f>
        <v>0</v>
      </c>
      <c r="N80" s="385">
        <f aca="true" t="shared" si="14" ref="N80:N123">H80+K80+L80-M80</f>
        <v>0</v>
      </c>
      <c r="O80" s="382"/>
      <c r="P80" s="382"/>
      <c r="Q80" s="386">
        <f>N80+O80+P80</f>
        <v>0</v>
      </c>
      <c r="R80" s="386">
        <f aca="true" t="shared" si="15" ref="R80:R123">N80+O80+P80-Q80</f>
        <v>0</v>
      </c>
    </row>
    <row r="81" spans="1:18" ht="47.25">
      <c r="A81" s="380">
        <v>1</v>
      </c>
      <c r="B81" s="381" t="s">
        <v>1392</v>
      </c>
      <c r="C81" s="382"/>
      <c r="D81" s="382"/>
      <c r="E81" s="382">
        <v>0.06</v>
      </c>
      <c r="F81" s="382"/>
      <c r="G81" s="385"/>
      <c r="H81" s="385">
        <f t="shared" si="12"/>
        <v>0.06</v>
      </c>
      <c r="I81" s="382"/>
      <c r="J81" s="386"/>
      <c r="K81" s="385">
        <f t="shared" si="13"/>
        <v>0</v>
      </c>
      <c r="L81" s="382"/>
      <c r="M81" s="385"/>
      <c r="N81" s="385">
        <f t="shared" si="14"/>
        <v>0.06</v>
      </c>
      <c r="O81" s="382">
        <v>10</v>
      </c>
      <c r="P81" s="382"/>
      <c r="Q81" s="386"/>
      <c r="R81" s="386">
        <f t="shared" si="15"/>
        <v>10.06</v>
      </c>
    </row>
    <row r="82" spans="1:18" ht="45">
      <c r="A82" s="380">
        <v>2</v>
      </c>
      <c r="B82" s="401" t="s">
        <v>312</v>
      </c>
      <c r="C82" s="382"/>
      <c r="D82" s="382">
        <v>0.03</v>
      </c>
      <c r="E82" s="382">
        <v>0.01</v>
      </c>
      <c r="F82" s="382"/>
      <c r="G82" s="385"/>
      <c r="H82" s="385">
        <f t="shared" si="12"/>
        <v>0.04</v>
      </c>
      <c r="I82" s="382">
        <v>0.02</v>
      </c>
      <c r="J82" s="386"/>
      <c r="K82" s="385">
        <f t="shared" si="13"/>
        <v>0.02</v>
      </c>
      <c r="L82" s="382"/>
      <c r="M82" s="385"/>
      <c r="N82" s="385">
        <f t="shared" si="14"/>
        <v>0.06</v>
      </c>
      <c r="O82" s="382">
        <v>3</v>
      </c>
      <c r="P82" s="382"/>
      <c r="Q82" s="386"/>
      <c r="R82" s="386">
        <f t="shared" si="15"/>
        <v>3.06</v>
      </c>
    </row>
    <row r="83" spans="1:18" ht="31.5">
      <c r="A83" s="380">
        <v>3</v>
      </c>
      <c r="B83" s="381" t="s">
        <v>1400</v>
      </c>
      <c r="C83" s="382"/>
      <c r="D83" s="382">
        <v>0.06</v>
      </c>
      <c r="E83" s="382">
        <v>0.18</v>
      </c>
      <c r="F83" s="382"/>
      <c r="G83" s="385"/>
      <c r="H83" s="385">
        <f t="shared" si="12"/>
        <v>0.24</v>
      </c>
      <c r="I83" s="382"/>
      <c r="J83" s="386"/>
      <c r="K83" s="385">
        <f t="shared" si="13"/>
        <v>0</v>
      </c>
      <c r="L83" s="382"/>
      <c r="M83" s="385"/>
      <c r="N83" s="385">
        <f t="shared" si="14"/>
        <v>0.24</v>
      </c>
      <c r="O83" s="382">
        <v>15</v>
      </c>
      <c r="P83" s="382"/>
      <c r="Q83" s="386"/>
      <c r="R83" s="386">
        <f t="shared" si="15"/>
        <v>15.24</v>
      </c>
    </row>
    <row r="84" spans="1:255" s="397" customFormat="1" ht="31.5">
      <c r="A84" s="380">
        <v>4</v>
      </c>
      <c r="B84" s="381" t="s">
        <v>1347</v>
      </c>
      <c r="C84" s="388"/>
      <c r="D84" s="386">
        <v>0.36</v>
      </c>
      <c r="E84" s="382">
        <v>0.19</v>
      </c>
      <c r="F84" s="388"/>
      <c r="G84" s="385">
        <v>0.01</v>
      </c>
      <c r="H84" s="385">
        <f t="shared" si="12"/>
        <v>0.54</v>
      </c>
      <c r="I84" s="386">
        <v>0.16</v>
      </c>
      <c r="J84" s="386"/>
      <c r="K84" s="385">
        <f t="shared" si="13"/>
        <v>0.16</v>
      </c>
      <c r="L84" s="388"/>
      <c r="M84" s="385"/>
      <c r="N84" s="385">
        <f t="shared" si="14"/>
        <v>0.7000000000000001</v>
      </c>
      <c r="O84" s="386">
        <v>20</v>
      </c>
      <c r="P84" s="388"/>
      <c r="Q84" s="386"/>
      <c r="R84" s="386">
        <f t="shared" si="15"/>
        <v>20.7</v>
      </c>
      <c r="IU84" s="387"/>
    </row>
    <row r="85" spans="1:255" s="397" customFormat="1" ht="47.25">
      <c r="A85" s="380">
        <v>5</v>
      </c>
      <c r="B85" s="381" t="s">
        <v>1408</v>
      </c>
      <c r="C85" s="388"/>
      <c r="D85" s="388">
        <v>0.03</v>
      </c>
      <c r="E85" s="382"/>
      <c r="F85" s="388"/>
      <c r="G85" s="385"/>
      <c r="H85" s="385">
        <f t="shared" si="12"/>
        <v>0.03</v>
      </c>
      <c r="I85" s="388"/>
      <c r="J85" s="386">
        <v>6.5</v>
      </c>
      <c r="K85" s="385">
        <f t="shared" si="13"/>
        <v>6.5</v>
      </c>
      <c r="L85" s="388"/>
      <c r="M85" s="385"/>
      <c r="N85" s="385">
        <f t="shared" si="14"/>
        <v>6.53</v>
      </c>
      <c r="O85" s="386">
        <v>25</v>
      </c>
      <c r="P85" s="388"/>
      <c r="Q85" s="386"/>
      <c r="R85" s="386">
        <f t="shared" si="15"/>
        <v>31.53</v>
      </c>
      <c r="IU85" s="387"/>
    </row>
    <row r="86" spans="1:255" s="397" customFormat="1" ht="31.5">
      <c r="A86" s="380">
        <v>6</v>
      </c>
      <c r="B86" s="381" t="s">
        <v>1410</v>
      </c>
      <c r="C86" s="388"/>
      <c r="D86" s="388"/>
      <c r="E86" s="382">
        <v>0.22</v>
      </c>
      <c r="F86" s="388"/>
      <c r="G86" s="385"/>
      <c r="H86" s="385">
        <f t="shared" si="12"/>
        <v>0.22</v>
      </c>
      <c r="I86" s="388"/>
      <c r="J86" s="386"/>
      <c r="K86" s="385">
        <f t="shared" si="13"/>
        <v>0</v>
      </c>
      <c r="L86" s="388"/>
      <c r="M86" s="385"/>
      <c r="N86" s="385">
        <f t="shared" si="14"/>
        <v>0.22</v>
      </c>
      <c r="O86" s="386">
        <v>12</v>
      </c>
      <c r="P86" s="388"/>
      <c r="Q86" s="386"/>
      <c r="R86" s="386">
        <f t="shared" si="15"/>
        <v>12.22</v>
      </c>
      <c r="IU86" s="387"/>
    </row>
    <row r="87" spans="1:255" s="397" customFormat="1" ht="78.75">
      <c r="A87" s="380">
        <v>7</v>
      </c>
      <c r="B87" s="381" t="s">
        <v>0</v>
      </c>
      <c r="C87" s="388"/>
      <c r="D87" s="388"/>
      <c r="E87" s="382"/>
      <c r="F87" s="388"/>
      <c r="G87" s="385">
        <f aca="true" t="shared" si="16" ref="G87:G95">D87+E87+F87</f>
        <v>0</v>
      </c>
      <c r="H87" s="385">
        <f t="shared" si="12"/>
        <v>0</v>
      </c>
      <c r="I87" s="388"/>
      <c r="J87" s="386"/>
      <c r="K87" s="385">
        <f t="shared" si="13"/>
        <v>0</v>
      </c>
      <c r="L87" s="388"/>
      <c r="M87" s="385">
        <f aca="true" t="shared" si="17" ref="M87:M93">H87+K87+L87</f>
        <v>0</v>
      </c>
      <c r="N87" s="385">
        <f t="shared" si="14"/>
        <v>0</v>
      </c>
      <c r="O87" s="386">
        <v>10</v>
      </c>
      <c r="P87" s="388"/>
      <c r="Q87" s="386"/>
      <c r="R87" s="386">
        <f t="shared" si="15"/>
        <v>10</v>
      </c>
      <c r="IU87" s="387"/>
    </row>
    <row r="88" spans="1:255" s="397" customFormat="1" ht="47.25">
      <c r="A88" s="380">
        <v>8</v>
      </c>
      <c r="B88" s="381" t="s">
        <v>1362</v>
      </c>
      <c r="C88" s="388"/>
      <c r="D88" s="388"/>
      <c r="E88" s="382"/>
      <c r="F88" s="388"/>
      <c r="G88" s="385">
        <f t="shared" si="16"/>
        <v>0</v>
      </c>
      <c r="H88" s="385">
        <f t="shared" si="12"/>
        <v>0</v>
      </c>
      <c r="I88" s="388"/>
      <c r="J88" s="386"/>
      <c r="K88" s="385">
        <f t="shared" si="13"/>
        <v>0</v>
      </c>
      <c r="L88" s="388"/>
      <c r="M88" s="385">
        <f t="shared" si="17"/>
        <v>0</v>
      </c>
      <c r="N88" s="385">
        <f t="shared" si="14"/>
        <v>0</v>
      </c>
      <c r="O88" s="386">
        <v>2</v>
      </c>
      <c r="P88" s="388"/>
      <c r="Q88" s="386"/>
      <c r="R88" s="386">
        <f t="shared" si="15"/>
        <v>2</v>
      </c>
      <c r="IU88" s="387"/>
    </row>
    <row r="89" spans="1:255" s="397" customFormat="1" ht="47.25">
      <c r="A89" s="380">
        <v>9</v>
      </c>
      <c r="B89" s="381" t="s">
        <v>1</v>
      </c>
      <c r="C89" s="388"/>
      <c r="D89" s="388"/>
      <c r="E89" s="382"/>
      <c r="F89" s="388"/>
      <c r="G89" s="385">
        <f t="shared" si="16"/>
        <v>0</v>
      </c>
      <c r="H89" s="385">
        <f t="shared" si="12"/>
        <v>0</v>
      </c>
      <c r="I89" s="388"/>
      <c r="J89" s="386"/>
      <c r="K89" s="385">
        <f t="shared" si="13"/>
        <v>0</v>
      </c>
      <c r="L89" s="388"/>
      <c r="M89" s="385">
        <f t="shared" si="17"/>
        <v>0</v>
      </c>
      <c r="N89" s="385">
        <f t="shared" si="14"/>
        <v>0</v>
      </c>
      <c r="O89" s="386">
        <v>0.5</v>
      </c>
      <c r="P89" s="388"/>
      <c r="Q89" s="386"/>
      <c r="R89" s="386">
        <f t="shared" si="15"/>
        <v>0.5</v>
      </c>
      <c r="IU89" s="387"/>
    </row>
    <row r="90" spans="1:255" s="397" customFormat="1" ht="47.25">
      <c r="A90" s="380">
        <v>10</v>
      </c>
      <c r="B90" s="381" t="s">
        <v>1359</v>
      </c>
      <c r="C90" s="388"/>
      <c r="D90" s="388"/>
      <c r="E90" s="382"/>
      <c r="F90" s="388"/>
      <c r="G90" s="385">
        <f t="shared" si="16"/>
        <v>0</v>
      </c>
      <c r="H90" s="385">
        <f t="shared" si="12"/>
        <v>0</v>
      </c>
      <c r="I90" s="388"/>
      <c r="J90" s="386"/>
      <c r="K90" s="385">
        <f t="shared" si="13"/>
        <v>0</v>
      </c>
      <c r="L90" s="388"/>
      <c r="M90" s="385">
        <f t="shared" si="17"/>
        <v>0</v>
      </c>
      <c r="N90" s="385">
        <f t="shared" si="14"/>
        <v>0</v>
      </c>
      <c r="O90" s="386">
        <v>8</v>
      </c>
      <c r="P90" s="388"/>
      <c r="Q90" s="386"/>
      <c r="R90" s="386">
        <f t="shared" si="15"/>
        <v>8</v>
      </c>
      <c r="IU90" s="387"/>
    </row>
    <row r="91" spans="1:255" s="397" customFormat="1" ht="47.25">
      <c r="A91" s="380">
        <v>11</v>
      </c>
      <c r="B91" s="381" t="s">
        <v>1360</v>
      </c>
      <c r="C91" s="388"/>
      <c r="D91" s="388"/>
      <c r="E91" s="382"/>
      <c r="F91" s="388"/>
      <c r="G91" s="385">
        <f t="shared" si="16"/>
        <v>0</v>
      </c>
      <c r="H91" s="385">
        <f t="shared" si="12"/>
        <v>0</v>
      </c>
      <c r="I91" s="388"/>
      <c r="J91" s="386"/>
      <c r="K91" s="385">
        <f t="shared" si="13"/>
        <v>0</v>
      </c>
      <c r="L91" s="388"/>
      <c r="M91" s="385">
        <f t="shared" si="17"/>
        <v>0</v>
      </c>
      <c r="N91" s="385">
        <f t="shared" si="14"/>
        <v>0</v>
      </c>
      <c r="O91" s="386">
        <v>8</v>
      </c>
      <c r="P91" s="388"/>
      <c r="Q91" s="386"/>
      <c r="R91" s="386">
        <f t="shared" si="15"/>
        <v>8</v>
      </c>
      <c r="IU91" s="387"/>
    </row>
    <row r="92" spans="1:255" s="397" customFormat="1" ht="47.25">
      <c r="A92" s="380">
        <v>12</v>
      </c>
      <c r="B92" s="381" t="s">
        <v>1363</v>
      </c>
      <c r="C92" s="388"/>
      <c r="D92" s="388"/>
      <c r="E92" s="382"/>
      <c r="F92" s="388"/>
      <c r="G92" s="385">
        <f t="shared" si="16"/>
        <v>0</v>
      </c>
      <c r="H92" s="385">
        <f t="shared" si="12"/>
        <v>0</v>
      </c>
      <c r="I92" s="388"/>
      <c r="J92" s="386"/>
      <c r="K92" s="385">
        <f t="shared" si="13"/>
        <v>0</v>
      </c>
      <c r="L92" s="388"/>
      <c r="M92" s="385">
        <f t="shared" si="17"/>
        <v>0</v>
      </c>
      <c r="N92" s="385">
        <f t="shared" si="14"/>
        <v>0</v>
      </c>
      <c r="O92" s="386"/>
      <c r="P92" s="388"/>
      <c r="Q92" s="386">
        <f>N92+O92+P92</f>
        <v>0</v>
      </c>
      <c r="R92" s="386">
        <f t="shared" si="15"/>
        <v>0</v>
      </c>
      <c r="IU92" s="387"/>
    </row>
    <row r="93" spans="1:255" s="397" customFormat="1" ht="31.5">
      <c r="A93" s="380">
        <v>13</v>
      </c>
      <c r="B93" s="381" t="s">
        <v>1361</v>
      </c>
      <c r="C93" s="388"/>
      <c r="D93" s="388"/>
      <c r="E93" s="382"/>
      <c r="F93" s="388"/>
      <c r="G93" s="385">
        <f t="shared" si="16"/>
        <v>0</v>
      </c>
      <c r="H93" s="385">
        <f t="shared" si="12"/>
        <v>0</v>
      </c>
      <c r="I93" s="388"/>
      <c r="J93" s="386"/>
      <c r="K93" s="385">
        <f t="shared" si="13"/>
        <v>0</v>
      </c>
      <c r="L93" s="388"/>
      <c r="M93" s="385">
        <f t="shared" si="17"/>
        <v>0</v>
      </c>
      <c r="N93" s="385">
        <f t="shared" si="14"/>
        <v>0</v>
      </c>
      <c r="O93" s="386">
        <v>1.5</v>
      </c>
      <c r="P93" s="388"/>
      <c r="Q93" s="386"/>
      <c r="R93" s="386">
        <f t="shared" si="15"/>
        <v>1.5</v>
      </c>
      <c r="IU93" s="387"/>
    </row>
    <row r="94" spans="1:255" s="397" customFormat="1" ht="31.5">
      <c r="A94" s="380">
        <v>14</v>
      </c>
      <c r="B94" s="381" t="s">
        <v>1364</v>
      </c>
      <c r="C94" s="388"/>
      <c r="D94" s="388"/>
      <c r="E94" s="382"/>
      <c r="F94" s="388"/>
      <c r="G94" s="385">
        <f t="shared" si="16"/>
        <v>0</v>
      </c>
      <c r="H94" s="385">
        <f t="shared" si="12"/>
        <v>0</v>
      </c>
      <c r="I94" s="388"/>
      <c r="J94" s="386">
        <v>0.35</v>
      </c>
      <c r="K94" s="385">
        <f t="shared" si="13"/>
        <v>0.35</v>
      </c>
      <c r="L94" s="388"/>
      <c r="M94" s="385"/>
      <c r="N94" s="385">
        <f t="shared" si="14"/>
        <v>0.35</v>
      </c>
      <c r="O94" s="386">
        <v>0.15</v>
      </c>
      <c r="P94" s="388"/>
      <c r="Q94" s="386"/>
      <c r="R94" s="386">
        <f t="shared" si="15"/>
        <v>0.5</v>
      </c>
      <c r="IU94" s="387"/>
    </row>
    <row r="95" spans="1:255" s="397" customFormat="1" ht="47.25">
      <c r="A95" s="380">
        <v>15</v>
      </c>
      <c r="B95" s="381" t="s">
        <v>1365</v>
      </c>
      <c r="C95" s="388"/>
      <c r="D95" s="388"/>
      <c r="E95" s="382"/>
      <c r="F95" s="388"/>
      <c r="G95" s="385">
        <f t="shared" si="16"/>
        <v>0</v>
      </c>
      <c r="H95" s="385">
        <f t="shared" si="12"/>
        <v>0</v>
      </c>
      <c r="I95" s="388"/>
      <c r="J95" s="386">
        <v>0.35</v>
      </c>
      <c r="K95" s="385">
        <f t="shared" si="13"/>
        <v>0.35</v>
      </c>
      <c r="L95" s="388"/>
      <c r="M95" s="385"/>
      <c r="N95" s="385">
        <f t="shared" si="14"/>
        <v>0.35</v>
      </c>
      <c r="O95" s="386">
        <f>2000000/10000000</f>
        <v>0.2</v>
      </c>
      <c r="P95" s="388"/>
      <c r="Q95" s="386"/>
      <c r="R95" s="386">
        <f t="shared" si="15"/>
        <v>0.55</v>
      </c>
      <c r="IU95" s="387"/>
    </row>
    <row r="96" spans="1:255" s="397" customFormat="1" ht="15.75">
      <c r="A96" s="380">
        <v>16</v>
      </c>
      <c r="B96" s="381" t="s">
        <v>313</v>
      </c>
      <c r="C96" s="388"/>
      <c r="D96" s="388"/>
      <c r="E96" s="382"/>
      <c r="F96" s="388"/>
      <c r="G96" s="385"/>
      <c r="H96" s="385"/>
      <c r="I96" s="388"/>
      <c r="J96" s="386">
        <v>0.35</v>
      </c>
      <c r="K96" s="385">
        <f t="shared" si="13"/>
        <v>0.35</v>
      </c>
      <c r="L96" s="388"/>
      <c r="M96" s="385"/>
      <c r="N96" s="385">
        <f t="shared" si="14"/>
        <v>0.35</v>
      </c>
      <c r="O96" s="386">
        <v>0.2</v>
      </c>
      <c r="P96" s="388"/>
      <c r="Q96" s="386"/>
      <c r="R96" s="386">
        <f t="shared" si="15"/>
        <v>0.55</v>
      </c>
      <c r="IU96" s="387"/>
    </row>
    <row r="97" spans="1:255" s="397" customFormat="1" ht="15.75">
      <c r="A97" s="380">
        <v>17</v>
      </c>
      <c r="B97" s="381" t="s">
        <v>314</v>
      </c>
      <c r="C97" s="388"/>
      <c r="D97" s="388"/>
      <c r="E97" s="382"/>
      <c r="F97" s="388"/>
      <c r="G97" s="385"/>
      <c r="H97" s="385"/>
      <c r="I97" s="388"/>
      <c r="J97" s="386">
        <v>0.35</v>
      </c>
      <c r="K97" s="385">
        <f t="shared" si="13"/>
        <v>0.35</v>
      </c>
      <c r="L97" s="388"/>
      <c r="M97" s="385"/>
      <c r="N97" s="385">
        <f t="shared" si="14"/>
        <v>0.35</v>
      </c>
      <c r="O97" s="386">
        <v>0.2</v>
      </c>
      <c r="P97" s="388"/>
      <c r="Q97" s="386"/>
      <c r="R97" s="386">
        <f t="shared" si="15"/>
        <v>0.55</v>
      </c>
      <c r="IU97" s="387"/>
    </row>
    <row r="98" spans="1:255" s="397" customFormat="1" ht="15.75">
      <c r="A98" s="380">
        <v>18</v>
      </c>
      <c r="B98" s="381" t="s">
        <v>315</v>
      </c>
      <c r="C98" s="388"/>
      <c r="D98" s="388"/>
      <c r="E98" s="382"/>
      <c r="F98" s="388"/>
      <c r="G98" s="385"/>
      <c r="H98" s="385"/>
      <c r="I98" s="388"/>
      <c r="J98" s="386">
        <v>0.35</v>
      </c>
      <c r="K98" s="385">
        <f t="shared" si="13"/>
        <v>0.35</v>
      </c>
      <c r="L98" s="388"/>
      <c r="M98" s="385"/>
      <c r="N98" s="385">
        <f t="shared" si="14"/>
        <v>0.35</v>
      </c>
      <c r="O98" s="386">
        <v>0.2</v>
      </c>
      <c r="P98" s="388"/>
      <c r="Q98" s="386"/>
      <c r="R98" s="386">
        <f t="shared" si="15"/>
        <v>0.55</v>
      </c>
      <c r="IU98" s="387"/>
    </row>
    <row r="99" spans="1:255" s="397" customFormat="1" ht="15.75">
      <c r="A99" s="380">
        <v>19</v>
      </c>
      <c r="B99" s="381" t="s">
        <v>316</v>
      </c>
      <c r="C99" s="388"/>
      <c r="D99" s="388"/>
      <c r="E99" s="382"/>
      <c r="F99" s="388"/>
      <c r="G99" s="385"/>
      <c r="H99" s="385"/>
      <c r="I99" s="388"/>
      <c r="J99" s="386">
        <v>0.35</v>
      </c>
      <c r="K99" s="385">
        <f t="shared" si="13"/>
        <v>0.35</v>
      </c>
      <c r="L99" s="388"/>
      <c r="M99" s="385"/>
      <c r="N99" s="385">
        <f t="shared" si="14"/>
        <v>0.35</v>
      </c>
      <c r="O99" s="386">
        <v>0.2</v>
      </c>
      <c r="P99" s="388"/>
      <c r="Q99" s="386"/>
      <c r="R99" s="386">
        <f t="shared" si="15"/>
        <v>0.55</v>
      </c>
      <c r="IU99" s="387"/>
    </row>
    <row r="100" spans="1:255" s="397" customFormat="1" ht="47.25">
      <c r="A100" s="380">
        <v>20</v>
      </c>
      <c r="B100" s="381" t="s">
        <v>1367</v>
      </c>
      <c r="C100" s="388"/>
      <c r="D100" s="388"/>
      <c r="E100" s="382">
        <v>0.01</v>
      </c>
      <c r="F100" s="388"/>
      <c r="G100" s="385"/>
      <c r="H100" s="385">
        <f t="shared" si="12"/>
        <v>0.01</v>
      </c>
      <c r="I100" s="388"/>
      <c r="J100" s="386"/>
      <c r="K100" s="385">
        <f t="shared" si="13"/>
        <v>0</v>
      </c>
      <c r="L100" s="388"/>
      <c r="M100" s="385"/>
      <c r="N100" s="385">
        <f t="shared" si="14"/>
        <v>0.01</v>
      </c>
      <c r="O100" s="386"/>
      <c r="P100" s="388"/>
      <c r="Q100" s="386">
        <f>N100+O100+P100</f>
        <v>0.01</v>
      </c>
      <c r="R100" s="386">
        <f t="shared" si="15"/>
        <v>0</v>
      </c>
      <c r="IU100" s="387"/>
    </row>
    <row r="101" spans="1:255" s="397" customFormat="1" ht="31.5">
      <c r="A101" s="380">
        <v>21</v>
      </c>
      <c r="B101" s="402" t="s">
        <v>317</v>
      </c>
      <c r="C101" s="388"/>
      <c r="D101" s="388"/>
      <c r="E101" s="382"/>
      <c r="F101" s="388"/>
      <c r="G101" s="385">
        <f aca="true" t="shared" si="18" ref="G101:G111">D101+E101+F101</f>
        <v>0</v>
      </c>
      <c r="H101" s="385">
        <f t="shared" si="12"/>
        <v>0</v>
      </c>
      <c r="I101" s="388">
        <v>0.25</v>
      </c>
      <c r="J101" s="386">
        <v>0.5</v>
      </c>
      <c r="K101" s="385">
        <f t="shared" si="13"/>
        <v>0.75</v>
      </c>
      <c r="L101" s="388"/>
      <c r="M101" s="385"/>
      <c r="N101" s="385">
        <f t="shared" si="14"/>
        <v>0.75</v>
      </c>
      <c r="O101" s="386">
        <v>6</v>
      </c>
      <c r="P101" s="388"/>
      <c r="Q101" s="386"/>
      <c r="R101" s="386">
        <f t="shared" si="15"/>
        <v>6.75</v>
      </c>
      <c r="IU101" s="387"/>
    </row>
    <row r="102" spans="1:255" s="397" customFormat="1" ht="31.5">
      <c r="A102" s="380">
        <v>22</v>
      </c>
      <c r="B102" s="402" t="s">
        <v>318</v>
      </c>
      <c r="C102" s="388"/>
      <c r="D102" s="388"/>
      <c r="E102" s="382"/>
      <c r="F102" s="388"/>
      <c r="G102" s="385">
        <f t="shared" si="18"/>
        <v>0</v>
      </c>
      <c r="H102" s="385">
        <f t="shared" si="12"/>
        <v>0</v>
      </c>
      <c r="I102" s="388"/>
      <c r="J102" s="386">
        <v>0.4</v>
      </c>
      <c r="K102" s="385">
        <f t="shared" si="13"/>
        <v>0.4</v>
      </c>
      <c r="L102" s="388"/>
      <c r="M102" s="385"/>
      <c r="N102" s="385">
        <f t="shared" si="14"/>
        <v>0.4</v>
      </c>
      <c r="O102" s="386">
        <v>6</v>
      </c>
      <c r="P102" s="388"/>
      <c r="Q102" s="386"/>
      <c r="R102" s="386">
        <f t="shared" si="15"/>
        <v>6.4</v>
      </c>
      <c r="IU102" s="387"/>
    </row>
    <row r="103" spans="1:255" s="397" customFormat="1" ht="31.5">
      <c r="A103" s="380">
        <v>23</v>
      </c>
      <c r="B103" s="402" t="s">
        <v>319</v>
      </c>
      <c r="C103" s="388"/>
      <c r="D103" s="388"/>
      <c r="E103" s="382"/>
      <c r="F103" s="388"/>
      <c r="G103" s="385">
        <f t="shared" si="18"/>
        <v>0</v>
      </c>
      <c r="H103" s="385">
        <f t="shared" si="12"/>
        <v>0</v>
      </c>
      <c r="I103" s="388"/>
      <c r="J103" s="386">
        <v>0.2</v>
      </c>
      <c r="K103" s="385">
        <f t="shared" si="13"/>
        <v>0.2</v>
      </c>
      <c r="L103" s="388"/>
      <c r="M103" s="385"/>
      <c r="N103" s="385">
        <f t="shared" si="14"/>
        <v>0.2</v>
      </c>
      <c r="O103" s="386">
        <v>10</v>
      </c>
      <c r="P103" s="388"/>
      <c r="Q103" s="386"/>
      <c r="R103" s="386">
        <f t="shared" si="15"/>
        <v>10.2</v>
      </c>
      <c r="IU103" s="387"/>
    </row>
    <row r="104" spans="1:255" s="397" customFormat="1" ht="31.5">
      <c r="A104" s="380">
        <v>24</v>
      </c>
      <c r="B104" s="402" t="s">
        <v>320</v>
      </c>
      <c r="C104" s="388"/>
      <c r="D104" s="388"/>
      <c r="E104" s="382"/>
      <c r="F104" s="388"/>
      <c r="G104" s="385">
        <f t="shared" si="18"/>
        <v>0</v>
      </c>
      <c r="H104" s="385">
        <f t="shared" si="12"/>
        <v>0</v>
      </c>
      <c r="I104" s="388"/>
      <c r="J104" s="386">
        <v>0.5</v>
      </c>
      <c r="K104" s="385">
        <f t="shared" si="13"/>
        <v>0.5</v>
      </c>
      <c r="L104" s="388"/>
      <c r="M104" s="385"/>
      <c r="N104" s="385">
        <f t="shared" si="14"/>
        <v>0.5</v>
      </c>
      <c r="O104" s="386">
        <v>10</v>
      </c>
      <c r="P104" s="388"/>
      <c r="Q104" s="386"/>
      <c r="R104" s="386">
        <f t="shared" si="15"/>
        <v>10.5</v>
      </c>
      <c r="IU104" s="387"/>
    </row>
    <row r="105" spans="1:255" s="397" customFormat="1" ht="31.5">
      <c r="A105" s="380">
        <v>25</v>
      </c>
      <c r="B105" s="402" t="s">
        <v>321</v>
      </c>
      <c r="C105" s="388"/>
      <c r="D105" s="388"/>
      <c r="E105" s="382"/>
      <c r="F105" s="388"/>
      <c r="G105" s="385">
        <f t="shared" si="18"/>
        <v>0</v>
      </c>
      <c r="H105" s="385">
        <f t="shared" si="12"/>
        <v>0</v>
      </c>
      <c r="I105" s="388"/>
      <c r="J105" s="386">
        <v>0.6</v>
      </c>
      <c r="K105" s="385">
        <f t="shared" si="13"/>
        <v>0.6</v>
      </c>
      <c r="L105" s="388"/>
      <c r="M105" s="385"/>
      <c r="N105" s="385">
        <f t="shared" si="14"/>
        <v>0.6</v>
      </c>
      <c r="O105" s="386">
        <v>5</v>
      </c>
      <c r="P105" s="388"/>
      <c r="Q105" s="386"/>
      <c r="R105" s="386">
        <f t="shared" si="15"/>
        <v>5.6</v>
      </c>
      <c r="IU105" s="387"/>
    </row>
    <row r="106" spans="1:255" s="397" customFormat="1" ht="31.5">
      <c r="A106" s="380">
        <v>26</v>
      </c>
      <c r="B106" s="402" t="s">
        <v>325</v>
      </c>
      <c r="C106" s="388"/>
      <c r="D106" s="388"/>
      <c r="E106" s="382"/>
      <c r="F106" s="388"/>
      <c r="G106" s="385">
        <f t="shared" si="18"/>
        <v>0</v>
      </c>
      <c r="H106" s="385">
        <f t="shared" si="12"/>
        <v>0</v>
      </c>
      <c r="I106" s="388"/>
      <c r="J106" s="386"/>
      <c r="K106" s="385">
        <f t="shared" si="13"/>
        <v>0</v>
      </c>
      <c r="L106" s="388"/>
      <c r="M106" s="385">
        <f>H106+K106+L106</f>
        <v>0</v>
      </c>
      <c r="N106" s="385">
        <f t="shared" si="14"/>
        <v>0</v>
      </c>
      <c r="O106" s="386">
        <v>3.5</v>
      </c>
      <c r="P106" s="388"/>
      <c r="Q106" s="386"/>
      <c r="R106" s="386">
        <f t="shared" si="15"/>
        <v>3.5</v>
      </c>
      <c r="IU106" s="387"/>
    </row>
    <row r="107" spans="1:255" s="397" customFormat="1" ht="31.5">
      <c r="A107" s="380">
        <v>27</v>
      </c>
      <c r="B107" s="402" t="s">
        <v>326</v>
      </c>
      <c r="C107" s="388"/>
      <c r="D107" s="388"/>
      <c r="E107" s="382"/>
      <c r="F107" s="388"/>
      <c r="G107" s="385">
        <f t="shared" si="18"/>
        <v>0</v>
      </c>
      <c r="H107" s="385">
        <f t="shared" si="12"/>
        <v>0</v>
      </c>
      <c r="I107" s="388"/>
      <c r="J107" s="386">
        <v>0.05</v>
      </c>
      <c r="K107" s="385">
        <f t="shared" si="13"/>
        <v>0.05</v>
      </c>
      <c r="L107" s="388"/>
      <c r="M107" s="385"/>
      <c r="N107" s="385">
        <f t="shared" si="14"/>
        <v>0.05</v>
      </c>
      <c r="O107" s="386">
        <v>4</v>
      </c>
      <c r="P107" s="388"/>
      <c r="Q107" s="386"/>
      <c r="R107" s="386">
        <f t="shared" si="15"/>
        <v>4.05</v>
      </c>
      <c r="IU107" s="387"/>
    </row>
    <row r="108" spans="1:18" ht="33">
      <c r="A108" s="380">
        <v>28</v>
      </c>
      <c r="B108" s="403" t="s">
        <v>327</v>
      </c>
      <c r="C108" s="388"/>
      <c r="D108" s="388"/>
      <c r="E108" s="382"/>
      <c r="F108" s="388"/>
      <c r="G108" s="385">
        <f t="shared" si="18"/>
        <v>0</v>
      </c>
      <c r="H108" s="385">
        <f t="shared" si="12"/>
        <v>0</v>
      </c>
      <c r="I108" s="388"/>
      <c r="J108" s="386">
        <v>0.15</v>
      </c>
      <c r="K108" s="385">
        <f t="shared" si="13"/>
        <v>0.15</v>
      </c>
      <c r="L108" s="388"/>
      <c r="M108" s="385">
        <f>H108+K108+L108</f>
        <v>0.15</v>
      </c>
      <c r="N108" s="385">
        <f t="shared" si="14"/>
        <v>0</v>
      </c>
      <c r="O108" s="386"/>
      <c r="P108" s="388"/>
      <c r="Q108" s="386"/>
      <c r="R108" s="386">
        <f t="shared" si="15"/>
        <v>0</v>
      </c>
    </row>
    <row r="109" spans="1:18" ht="31.5">
      <c r="A109" s="380">
        <v>29</v>
      </c>
      <c r="B109" s="402" t="s">
        <v>328</v>
      </c>
      <c r="C109" s="388"/>
      <c r="D109" s="388"/>
      <c r="E109" s="382"/>
      <c r="F109" s="388"/>
      <c r="G109" s="385">
        <f t="shared" si="18"/>
        <v>0</v>
      </c>
      <c r="H109" s="385">
        <f t="shared" si="12"/>
        <v>0</v>
      </c>
      <c r="I109" s="388"/>
      <c r="J109" s="386">
        <v>2.5</v>
      </c>
      <c r="K109" s="385">
        <f t="shared" si="13"/>
        <v>2.5</v>
      </c>
      <c r="L109" s="388"/>
      <c r="M109" s="385"/>
      <c r="N109" s="385">
        <f t="shared" si="14"/>
        <v>2.5</v>
      </c>
      <c r="O109" s="386">
        <v>10</v>
      </c>
      <c r="P109" s="388"/>
      <c r="Q109" s="386"/>
      <c r="R109" s="386">
        <f t="shared" si="15"/>
        <v>12.5</v>
      </c>
    </row>
    <row r="110" spans="1:18" ht="30">
      <c r="A110" s="380">
        <v>30</v>
      </c>
      <c r="B110" s="404" t="s">
        <v>329</v>
      </c>
      <c r="C110" s="388"/>
      <c r="D110" s="388"/>
      <c r="E110" s="382"/>
      <c r="F110" s="388"/>
      <c r="G110" s="385">
        <f t="shared" si="18"/>
        <v>0</v>
      </c>
      <c r="H110" s="385">
        <f t="shared" si="12"/>
        <v>0</v>
      </c>
      <c r="I110" s="388"/>
      <c r="J110" s="386">
        <v>0.2</v>
      </c>
      <c r="K110" s="385">
        <f t="shared" si="13"/>
        <v>0.2</v>
      </c>
      <c r="L110" s="388"/>
      <c r="M110" s="385"/>
      <c r="N110" s="385">
        <f t="shared" si="14"/>
        <v>0.2</v>
      </c>
      <c r="O110" s="386">
        <v>5</v>
      </c>
      <c r="P110" s="388"/>
      <c r="Q110" s="386"/>
      <c r="R110" s="386">
        <f t="shared" si="15"/>
        <v>5.2</v>
      </c>
    </row>
    <row r="111" spans="1:18" ht="78.75">
      <c r="A111" s="380">
        <v>31</v>
      </c>
      <c r="B111" s="402" t="s">
        <v>330</v>
      </c>
      <c r="C111" s="388"/>
      <c r="D111" s="388"/>
      <c r="E111" s="382"/>
      <c r="F111" s="388"/>
      <c r="G111" s="385">
        <f t="shared" si="18"/>
        <v>0</v>
      </c>
      <c r="H111" s="385">
        <f t="shared" si="12"/>
        <v>0</v>
      </c>
      <c r="I111" s="388"/>
      <c r="J111" s="386">
        <v>0.4</v>
      </c>
      <c r="K111" s="385">
        <f t="shared" si="13"/>
        <v>0.4</v>
      </c>
      <c r="L111" s="388"/>
      <c r="M111" s="385"/>
      <c r="N111" s="385">
        <f t="shared" si="14"/>
        <v>0.4</v>
      </c>
      <c r="O111" s="386">
        <v>8.5</v>
      </c>
      <c r="P111" s="388"/>
      <c r="Q111" s="386"/>
      <c r="R111" s="386">
        <f t="shared" si="15"/>
        <v>8.9</v>
      </c>
    </row>
    <row r="112" spans="1:18" ht="94.5">
      <c r="A112" s="380">
        <v>32</v>
      </c>
      <c r="B112" s="405" t="s">
        <v>331</v>
      </c>
      <c r="C112" s="388"/>
      <c r="D112" s="388"/>
      <c r="E112" s="382">
        <v>0.09</v>
      </c>
      <c r="F112" s="388"/>
      <c r="G112" s="385"/>
      <c r="H112" s="385">
        <f t="shared" si="12"/>
        <v>0.09</v>
      </c>
      <c r="I112" s="388">
        <v>0.11</v>
      </c>
      <c r="J112" s="386"/>
      <c r="K112" s="385">
        <f t="shared" si="13"/>
        <v>0.11</v>
      </c>
      <c r="L112" s="388"/>
      <c r="M112" s="385"/>
      <c r="N112" s="385">
        <f t="shared" si="14"/>
        <v>0.2</v>
      </c>
      <c r="O112" s="386">
        <v>5</v>
      </c>
      <c r="P112" s="388"/>
      <c r="Q112" s="386"/>
      <c r="R112" s="386">
        <f t="shared" si="15"/>
        <v>5.2</v>
      </c>
    </row>
    <row r="113" spans="1:18" ht="31.5">
      <c r="A113" s="380">
        <v>33</v>
      </c>
      <c r="B113" s="402" t="s">
        <v>2</v>
      </c>
      <c r="C113" s="388"/>
      <c r="D113" s="388"/>
      <c r="E113" s="382"/>
      <c r="F113" s="388"/>
      <c r="G113" s="385">
        <f>D113+E113+F113</f>
        <v>0</v>
      </c>
      <c r="H113" s="385">
        <f t="shared" si="12"/>
        <v>0</v>
      </c>
      <c r="I113" s="388"/>
      <c r="J113" s="386">
        <v>0.15</v>
      </c>
      <c r="K113" s="385">
        <f t="shared" si="13"/>
        <v>0.15</v>
      </c>
      <c r="L113" s="388"/>
      <c r="M113" s="385"/>
      <c r="N113" s="385">
        <f t="shared" si="14"/>
        <v>0.15</v>
      </c>
      <c r="O113" s="386">
        <v>4</v>
      </c>
      <c r="P113" s="388"/>
      <c r="Q113" s="386"/>
      <c r="R113" s="386">
        <f t="shared" si="15"/>
        <v>4.15</v>
      </c>
    </row>
    <row r="114" spans="1:18" ht="54.75" customHeight="1">
      <c r="A114" s="380">
        <v>34</v>
      </c>
      <c r="B114" s="402" t="s">
        <v>3</v>
      </c>
      <c r="C114" s="388"/>
      <c r="D114" s="388"/>
      <c r="E114" s="382"/>
      <c r="F114" s="388"/>
      <c r="G114" s="385">
        <f>D114+E114+F114</f>
        <v>0</v>
      </c>
      <c r="H114" s="385">
        <f t="shared" si="12"/>
        <v>0</v>
      </c>
      <c r="I114" s="388"/>
      <c r="J114" s="386">
        <v>0.15</v>
      </c>
      <c r="K114" s="385">
        <f t="shared" si="13"/>
        <v>0.15</v>
      </c>
      <c r="L114" s="388"/>
      <c r="M114" s="385"/>
      <c r="N114" s="385">
        <f t="shared" si="14"/>
        <v>0.15</v>
      </c>
      <c r="O114" s="386">
        <v>5</v>
      </c>
      <c r="P114" s="388"/>
      <c r="Q114" s="386"/>
      <c r="R114" s="386">
        <f t="shared" si="15"/>
        <v>5.15</v>
      </c>
    </row>
    <row r="115" spans="1:18" ht="52.5" customHeight="1">
      <c r="A115" s="380">
        <v>35</v>
      </c>
      <c r="B115" s="402" t="s">
        <v>332</v>
      </c>
      <c r="C115" s="388"/>
      <c r="D115" s="388"/>
      <c r="E115" s="382"/>
      <c r="F115" s="388"/>
      <c r="G115" s="385">
        <f>D115+E115+F115</f>
        <v>0</v>
      </c>
      <c r="H115" s="385">
        <f t="shared" si="12"/>
        <v>0</v>
      </c>
      <c r="I115" s="388"/>
      <c r="J115" s="386">
        <v>2</v>
      </c>
      <c r="K115" s="385">
        <f t="shared" si="13"/>
        <v>2</v>
      </c>
      <c r="L115" s="388"/>
      <c r="M115" s="385"/>
      <c r="N115" s="385">
        <f t="shared" si="14"/>
        <v>2</v>
      </c>
      <c r="O115" s="386">
        <v>10</v>
      </c>
      <c r="P115" s="388"/>
      <c r="Q115" s="386"/>
      <c r="R115" s="386">
        <f t="shared" si="15"/>
        <v>12</v>
      </c>
    </row>
    <row r="116" spans="1:18" ht="50.25" customHeight="1">
      <c r="A116" s="380">
        <v>36</v>
      </c>
      <c r="B116" s="402" t="s">
        <v>4</v>
      </c>
      <c r="C116" s="388"/>
      <c r="D116" s="388"/>
      <c r="E116" s="382"/>
      <c r="F116" s="388"/>
      <c r="G116" s="385">
        <f>D116+E116+F116</f>
        <v>0</v>
      </c>
      <c r="H116" s="385">
        <f t="shared" si="12"/>
        <v>0</v>
      </c>
      <c r="I116" s="388"/>
      <c r="J116" s="386"/>
      <c r="K116" s="385">
        <f t="shared" si="13"/>
        <v>0</v>
      </c>
      <c r="L116" s="388"/>
      <c r="M116" s="385">
        <f>H116+K116+L116</f>
        <v>0</v>
      </c>
      <c r="N116" s="385">
        <f t="shared" si="14"/>
        <v>0</v>
      </c>
      <c r="O116" s="386"/>
      <c r="P116" s="388"/>
      <c r="Q116" s="386">
        <f>N116+O116+P116</f>
        <v>0</v>
      </c>
      <c r="R116" s="386">
        <f t="shared" si="15"/>
        <v>0</v>
      </c>
    </row>
    <row r="117" spans="1:18" ht="73.5" customHeight="1">
      <c r="A117" s="380">
        <v>37</v>
      </c>
      <c r="B117" s="402" t="s">
        <v>333</v>
      </c>
      <c r="C117" s="388"/>
      <c r="D117" s="388"/>
      <c r="E117" s="382"/>
      <c r="F117" s="388"/>
      <c r="G117" s="385"/>
      <c r="H117" s="385"/>
      <c r="I117" s="388"/>
      <c r="J117" s="386">
        <v>0.15</v>
      </c>
      <c r="K117" s="385">
        <f t="shared" si="13"/>
        <v>0.15</v>
      </c>
      <c r="L117" s="388"/>
      <c r="M117" s="385"/>
      <c r="N117" s="385">
        <f t="shared" si="14"/>
        <v>0.15</v>
      </c>
      <c r="O117" s="386">
        <v>3</v>
      </c>
      <c r="P117" s="388"/>
      <c r="Q117" s="386"/>
      <c r="R117" s="386">
        <f t="shared" si="15"/>
        <v>3.15</v>
      </c>
    </row>
    <row r="118" spans="1:18" ht="53.25" customHeight="1">
      <c r="A118" s="380">
        <v>38</v>
      </c>
      <c r="B118" s="402" t="s">
        <v>334</v>
      </c>
      <c r="C118" s="388"/>
      <c r="D118" s="388"/>
      <c r="E118" s="382"/>
      <c r="F118" s="388"/>
      <c r="G118" s="385"/>
      <c r="H118" s="385"/>
      <c r="I118" s="388"/>
      <c r="J118" s="386">
        <v>0.1</v>
      </c>
      <c r="K118" s="385">
        <f t="shared" si="13"/>
        <v>0.1</v>
      </c>
      <c r="L118" s="388"/>
      <c r="M118" s="385"/>
      <c r="N118" s="385">
        <f t="shared" si="14"/>
        <v>0.1</v>
      </c>
      <c r="O118" s="386">
        <v>10</v>
      </c>
      <c r="P118" s="388"/>
      <c r="Q118" s="386"/>
      <c r="R118" s="386">
        <f t="shared" si="15"/>
        <v>10.1</v>
      </c>
    </row>
    <row r="119" spans="1:18" ht="56.25" customHeight="1">
      <c r="A119" s="380">
        <v>39</v>
      </c>
      <c r="B119" s="402" t="s">
        <v>335</v>
      </c>
      <c r="C119" s="388"/>
      <c r="D119" s="388"/>
      <c r="E119" s="382"/>
      <c r="F119" s="388"/>
      <c r="G119" s="385"/>
      <c r="H119" s="385"/>
      <c r="I119" s="388"/>
      <c r="J119" s="386">
        <v>0.05</v>
      </c>
      <c r="K119" s="385">
        <f t="shared" si="13"/>
        <v>0.05</v>
      </c>
      <c r="L119" s="388"/>
      <c r="M119" s="385"/>
      <c r="N119" s="385">
        <f t="shared" si="14"/>
        <v>0.05</v>
      </c>
      <c r="O119" s="386">
        <v>7</v>
      </c>
      <c r="P119" s="388"/>
      <c r="Q119" s="386"/>
      <c r="R119" s="386">
        <f t="shared" si="15"/>
        <v>7.05</v>
      </c>
    </row>
    <row r="120" spans="1:18" ht="31.5">
      <c r="A120" s="380">
        <v>40</v>
      </c>
      <c r="B120" s="402" t="s">
        <v>336</v>
      </c>
      <c r="C120" s="388"/>
      <c r="D120" s="388"/>
      <c r="E120" s="382"/>
      <c r="F120" s="388"/>
      <c r="G120" s="385"/>
      <c r="H120" s="385"/>
      <c r="I120" s="388"/>
      <c r="J120" s="386">
        <v>0.1</v>
      </c>
      <c r="K120" s="385">
        <f t="shared" si="13"/>
        <v>0.1</v>
      </c>
      <c r="L120" s="388"/>
      <c r="M120" s="385"/>
      <c r="N120" s="385">
        <f t="shared" si="14"/>
        <v>0.1</v>
      </c>
      <c r="O120" s="386">
        <v>5</v>
      </c>
      <c r="P120" s="388"/>
      <c r="Q120" s="386"/>
      <c r="R120" s="386">
        <f t="shared" si="15"/>
        <v>5.1</v>
      </c>
    </row>
    <row r="121" spans="1:18" ht="41.25" customHeight="1">
      <c r="A121" s="380">
        <v>41</v>
      </c>
      <c r="B121" s="402" t="s">
        <v>337</v>
      </c>
      <c r="C121" s="388"/>
      <c r="D121" s="388"/>
      <c r="E121" s="382"/>
      <c r="F121" s="388"/>
      <c r="G121" s="385"/>
      <c r="H121" s="385"/>
      <c r="I121" s="388"/>
      <c r="J121" s="386">
        <v>0.5</v>
      </c>
      <c r="K121" s="385">
        <f t="shared" si="13"/>
        <v>0.5</v>
      </c>
      <c r="L121" s="388"/>
      <c r="M121" s="385"/>
      <c r="N121" s="385">
        <f t="shared" si="14"/>
        <v>0.5</v>
      </c>
      <c r="O121" s="386">
        <v>3.4</v>
      </c>
      <c r="P121" s="388"/>
      <c r="Q121" s="386">
        <f>N121+O121+P121</f>
        <v>3.9</v>
      </c>
      <c r="R121" s="386">
        <f t="shared" si="15"/>
        <v>0</v>
      </c>
    </row>
    <row r="122" spans="1:18" ht="58.5" customHeight="1">
      <c r="A122" s="380">
        <v>42</v>
      </c>
      <c r="B122" s="402" t="s">
        <v>338</v>
      </c>
      <c r="C122" s="388"/>
      <c r="D122" s="388"/>
      <c r="E122" s="382"/>
      <c r="F122" s="388"/>
      <c r="G122" s="385"/>
      <c r="H122" s="385"/>
      <c r="I122" s="388"/>
      <c r="J122" s="386">
        <v>0.45</v>
      </c>
      <c r="K122" s="385">
        <f t="shared" si="13"/>
        <v>0.45</v>
      </c>
      <c r="L122" s="388"/>
      <c r="M122" s="385"/>
      <c r="N122" s="385">
        <f t="shared" si="14"/>
        <v>0.45</v>
      </c>
      <c r="O122" s="386">
        <v>3.5</v>
      </c>
      <c r="P122" s="388"/>
      <c r="Q122" s="386"/>
      <c r="R122" s="386">
        <f t="shared" si="15"/>
        <v>3.95</v>
      </c>
    </row>
    <row r="123" spans="1:18" ht="39.75" customHeight="1">
      <c r="A123" s="380">
        <v>43</v>
      </c>
      <c r="B123" s="402" t="s">
        <v>339</v>
      </c>
      <c r="C123" s="388"/>
      <c r="D123" s="388"/>
      <c r="E123" s="382"/>
      <c r="F123" s="388"/>
      <c r="G123" s="385"/>
      <c r="H123" s="385"/>
      <c r="I123" s="388"/>
      <c r="J123" s="386">
        <v>0.3</v>
      </c>
      <c r="K123" s="385">
        <f t="shared" si="13"/>
        <v>0.3</v>
      </c>
      <c r="L123" s="388"/>
      <c r="M123" s="385"/>
      <c r="N123" s="385">
        <f t="shared" si="14"/>
        <v>0.3</v>
      </c>
      <c r="O123" s="386">
        <v>2.6</v>
      </c>
      <c r="P123" s="388"/>
      <c r="Q123" s="386">
        <f>N123+O123+P123</f>
        <v>2.9</v>
      </c>
      <c r="R123" s="386">
        <f t="shared" si="15"/>
        <v>0</v>
      </c>
    </row>
    <row r="124" spans="1:18" ht="15.75">
      <c r="A124" s="399"/>
      <c r="B124" s="400" t="s">
        <v>1368</v>
      </c>
      <c r="C124" s="382"/>
      <c r="D124" s="406">
        <f>SUM(D81:D123)</f>
        <v>0.48</v>
      </c>
      <c r="E124" s="406">
        <f>SUM(E81:E123)</f>
        <v>0.76</v>
      </c>
      <c r="F124" s="406">
        <f>SUM(F81:F123)</f>
        <v>0</v>
      </c>
      <c r="G124" s="406">
        <f>SUM(G81:G123)</f>
        <v>0.01</v>
      </c>
      <c r="H124" s="406">
        <f aca="true" t="shared" si="19" ref="H124:R124">SUM(H81:H123)</f>
        <v>1.2300000000000002</v>
      </c>
      <c r="I124" s="406">
        <f t="shared" si="19"/>
        <v>0.54</v>
      </c>
      <c r="J124" s="406">
        <f t="shared" si="19"/>
        <v>18.05</v>
      </c>
      <c r="K124" s="406">
        <f t="shared" si="19"/>
        <v>18.59</v>
      </c>
      <c r="L124" s="406">
        <f t="shared" si="19"/>
        <v>0</v>
      </c>
      <c r="M124" s="406">
        <f t="shared" si="19"/>
        <v>0.15</v>
      </c>
      <c r="N124" s="406">
        <f t="shared" si="19"/>
        <v>19.669999999999998</v>
      </c>
      <c r="O124" s="406">
        <f t="shared" si="19"/>
        <v>242.65000000000003</v>
      </c>
      <c r="P124" s="406">
        <f t="shared" si="19"/>
        <v>0</v>
      </c>
      <c r="Q124" s="406">
        <f t="shared" si="19"/>
        <v>6.81</v>
      </c>
      <c r="R124" s="406">
        <f t="shared" si="19"/>
        <v>255.51</v>
      </c>
    </row>
    <row r="125" spans="1:18" ht="15.75">
      <c r="A125" s="399" t="s">
        <v>1024</v>
      </c>
      <c r="B125" s="400" t="s">
        <v>20</v>
      </c>
      <c r="C125" s="382"/>
      <c r="D125" s="382"/>
      <c r="E125" s="382"/>
      <c r="F125" s="382"/>
      <c r="G125" s="385">
        <f>D125+E125+F125</f>
        <v>0</v>
      </c>
      <c r="H125" s="385">
        <f aca="true" t="shared" si="20" ref="H125:H151">D125+E125+F125-G125</f>
        <v>0</v>
      </c>
      <c r="I125" s="382"/>
      <c r="J125" s="382"/>
      <c r="K125" s="385">
        <f aca="true" t="shared" si="21" ref="K125:K145">I125+J125</f>
        <v>0</v>
      </c>
      <c r="L125" s="382"/>
      <c r="M125" s="385">
        <f>H125+K125+L125</f>
        <v>0</v>
      </c>
      <c r="N125" s="385">
        <f aca="true" t="shared" si="22" ref="N125:N153">H125+K125+L125-M125</f>
        <v>0</v>
      </c>
      <c r="O125" s="382"/>
      <c r="P125" s="382"/>
      <c r="Q125" s="386">
        <f>N125+O125+P125</f>
        <v>0</v>
      </c>
      <c r="R125" s="386">
        <f aca="true" t="shared" si="23" ref="R125:R153">N125+O125+P125-Q125</f>
        <v>0</v>
      </c>
    </row>
    <row r="126" spans="1:18" ht="38.25" customHeight="1">
      <c r="A126" s="380">
        <v>1</v>
      </c>
      <c r="B126" s="381" t="s">
        <v>957</v>
      </c>
      <c r="C126" s="391"/>
      <c r="D126" s="385"/>
      <c r="E126" s="386">
        <f>13.91+19.71+1.6+5.02</f>
        <v>40.24000000000001</v>
      </c>
      <c r="F126" s="385"/>
      <c r="G126" s="385"/>
      <c r="H126" s="385">
        <f t="shared" si="20"/>
        <v>40.24000000000001</v>
      </c>
      <c r="I126" s="388">
        <f>0.51+0.31</f>
        <v>0.8200000000000001</v>
      </c>
      <c r="J126" s="386">
        <v>0.1</v>
      </c>
      <c r="K126" s="385">
        <f t="shared" si="21"/>
        <v>0.92</v>
      </c>
      <c r="L126" s="385"/>
      <c r="M126" s="385">
        <f>H126+K126+L126</f>
        <v>41.16000000000001</v>
      </c>
      <c r="N126" s="385">
        <f t="shared" si="22"/>
        <v>0</v>
      </c>
      <c r="O126" s="385"/>
      <c r="P126" s="385"/>
      <c r="Q126" s="386">
        <f>N126+O126+P126</f>
        <v>0</v>
      </c>
      <c r="R126" s="386">
        <f t="shared" si="23"/>
        <v>0</v>
      </c>
    </row>
    <row r="127" spans="1:18" ht="53.25" customHeight="1">
      <c r="A127" s="380">
        <v>2</v>
      </c>
      <c r="B127" s="381" t="s">
        <v>268</v>
      </c>
      <c r="C127" s="401"/>
      <c r="D127" s="385">
        <f>0.37+0.47</f>
        <v>0.84</v>
      </c>
      <c r="E127" s="386">
        <v>0.74</v>
      </c>
      <c r="F127" s="385"/>
      <c r="G127" s="385"/>
      <c r="H127" s="385">
        <f t="shared" si="20"/>
        <v>1.58</v>
      </c>
      <c r="I127" s="388"/>
      <c r="J127" s="388"/>
      <c r="K127" s="385">
        <f t="shared" si="21"/>
        <v>0</v>
      </c>
      <c r="L127" s="385"/>
      <c r="M127" s="385">
        <f>H127+K127+L127</f>
        <v>1.58</v>
      </c>
      <c r="N127" s="385">
        <f t="shared" si="22"/>
        <v>0</v>
      </c>
      <c r="O127" s="385"/>
      <c r="P127" s="385"/>
      <c r="Q127" s="386">
        <f>N127+O127+P127</f>
        <v>0</v>
      </c>
      <c r="R127" s="386">
        <f t="shared" si="23"/>
        <v>0</v>
      </c>
    </row>
    <row r="128" spans="1:18" ht="41.25" customHeight="1">
      <c r="A128" s="380">
        <v>3</v>
      </c>
      <c r="B128" s="381" t="s">
        <v>925</v>
      </c>
      <c r="C128" s="382"/>
      <c r="D128" s="385"/>
      <c r="E128" s="386">
        <v>0.2</v>
      </c>
      <c r="F128" s="385"/>
      <c r="G128" s="385">
        <f>D128+E128+F128</f>
        <v>0.2</v>
      </c>
      <c r="H128" s="385">
        <f t="shared" si="20"/>
        <v>0</v>
      </c>
      <c r="I128" s="388">
        <v>0.14</v>
      </c>
      <c r="J128" s="388"/>
      <c r="K128" s="385">
        <f t="shared" si="21"/>
        <v>0.14</v>
      </c>
      <c r="L128" s="385"/>
      <c r="M128" s="385">
        <f>H128+K128+L128</f>
        <v>0.14</v>
      </c>
      <c r="N128" s="385">
        <f t="shared" si="22"/>
        <v>0</v>
      </c>
      <c r="O128" s="385"/>
      <c r="P128" s="385"/>
      <c r="Q128" s="386">
        <f>N128+O128+P128</f>
        <v>0</v>
      </c>
      <c r="R128" s="386">
        <f t="shared" si="23"/>
        <v>0</v>
      </c>
    </row>
    <row r="129" spans="1:18" ht="37.5" customHeight="1">
      <c r="A129" s="380">
        <v>4</v>
      </c>
      <c r="B129" s="381" t="s">
        <v>269</v>
      </c>
      <c r="C129" s="382"/>
      <c r="D129" s="385"/>
      <c r="E129" s="386">
        <v>0.02</v>
      </c>
      <c r="F129" s="385"/>
      <c r="G129" s="385">
        <f>D129+E129+F129</f>
        <v>0.02</v>
      </c>
      <c r="H129" s="385">
        <f t="shared" si="20"/>
        <v>0</v>
      </c>
      <c r="I129" s="388"/>
      <c r="J129" s="388"/>
      <c r="K129" s="385">
        <f t="shared" si="21"/>
        <v>0</v>
      </c>
      <c r="L129" s="385"/>
      <c r="M129" s="385">
        <f>H129+K129+L129</f>
        <v>0</v>
      </c>
      <c r="N129" s="385">
        <f t="shared" si="22"/>
        <v>0</v>
      </c>
      <c r="O129" s="385"/>
      <c r="P129" s="385"/>
      <c r="Q129" s="386">
        <f>N129+O129+P129</f>
        <v>0</v>
      </c>
      <c r="R129" s="386">
        <f t="shared" si="23"/>
        <v>0</v>
      </c>
    </row>
    <row r="130" spans="1:18" ht="24" customHeight="1">
      <c r="A130" s="380">
        <v>5</v>
      </c>
      <c r="B130" s="381" t="s">
        <v>340</v>
      </c>
      <c r="C130" s="382"/>
      <c r="D130" s="385"/>
      <c r="E130" s="386"/>
      <c r="F130" s="385"/>
      <c r="G130" s="385">
        <f>D130+E130+F130</f>
        <v>0</v>
      </c>
      <c r="H130" s="385">
        <f t="shared" si="20"/>
        <v>0</v>
      </c>
      <c r="I130" s="388">
        <v>1.26</v>
      </c>
      <c r="J130" s="388">
        <v>6.5</v>
      </c>
      <c r="K130" s="385">
        <f t="shared" si="21"/>
        <v>7.76</v>
      </c>
      <c r="L130" s="385"/>
      <c r="M130" s="385"/>
      <c r="N130" s="385">
        <f t="shared" si="22"/>
        <v>7.76</v>
      </c>
      <c r="O130" s="385">
        <v>5.95</v>
      </c>
      <c r="P130" s="385"/>
      <c r="Q130" s="386"/>
      <c r="R130" s="386">
        <f t="shared" si="23"/>
        <v>13.71</v>
      </c>
    </row>
    <row r="131" spans="1:18" ht="38.25" customHeight="1">
      <c r="A131" s="380">
        <v>6</v>
      </c>
      <c r="B131" s="381" t="s">
        <v>21</v>
      </c>
      <c r="C131" s="391"/>
      <c r="D131" s="385">
        <v>0.02</v>
      </c>
      <c r="E131" s="386">
        <v>2.06</v>
      </c>
      <c r="F131" s="385"/>
      <c r="G131" s="385"/>
      <c r="H131" s="385">
        <f t="shared" si="20"/>
        <v>2.08</v>
      </c>
      <c r="I131" s="386">
        <v>0.51</v>
      </c>
      <c r="J131" s="388"/>
      <c r="K131" s="385">
        <f t="shared" si="21"/>
        <v>0.51</v>
      </c>
      <c r="L131" s="385"/>
      <c r="M131" s="385">
        <f>H131+K131+L131</f>
        <v>2.59</v>
      </c>
      <c r="N131" s="385">
        <f t="shared" si="22"/>
        <v>0</v>
      </c>
      <c r="O131" s="385"/>
      <c r="P131" s="385"/>
      <c r="Q131" s="386">
        <f aca="true" t="shared" si="24" ref="Q131:Q151">N131+O131+P131</f>
        <v>0</v>
      </c>
      <c r="R131" s="386">
        <f t="shared" si="23"/>
        <v>0</v>
      </c>
    </row>
    <row r="132" spans="1:18" ht="38.25" customHeight="1">
      <c r="A132" s="380">
        <v>7</v>
      </c>
      <c r="B132" s="381" t="s">
        <v>25</v>
      </c>
      <c r="C132" s="391"/>
      <c r="D132" s="385">
        <v>0.15</v>
      </c>
      <c r="E132" s="386">
        <v>0.08</v>
      </c>
      <c r="F132" s="385"/>
      <c r="G132" s="385"/>
      <c r="H132" s="385">
        <f t="shared" si="20"/>
        <v>0.22999999999999998</v>
      </c>
      <c r="I132" s="388">
        <v>0.64</v>
      </c>
      <c r="J132" s="386">
        <v>5.01</v>
      </c>
      <c r="K132" s="385">
        <f t="shared" si="21"/>
        <v>5.6499999999999995</v>
      </c>
      <c r="L132" s="385"/>
      <c r="M132" s="385"/>
      <c r="N132" s="385">
        <f t="shared" si="22"/>
        <v>5.879999999999999</v>
      </c>
      <c r="O132" s="385">
        <v>6.84</v>
      </c>
      <c r="P132" s="385"/>
      <c r="Q132" s="386">
        <f t="shared" si="24"/>
        <v>12.719999999999999</v>
      </c>
      <c r="R132" s="386">
        <f t="shared" si="23"/>
        <v>0</v>
      </c>
    </row>
    <row r="133" spans="1:18" ht="23.25" customHeight="1">
      <c r="A133" s="380">
        <v>8</v>
      </c>
      <c r="B133" s="381" t="s">
        <v>30</v>
      </c>
      <c r="C133" s="391"/>
      <c r="D133" s="385">
        <v>0.3</v>
      </c>
      <c r="E133" s="386">
        <v>10.91</v>
      </c>
      <c r="F133" s="385"/>
      <c r="G133" s="385"/>
      <c r="H133" s="385">
        <f t="shared" si="20"/>
        <v>11.21</v>
      </c>
      <c r="I133" s="386">
        <v>1.76</v>
      </c>
      <c r="J133" s="386">
        <v>5.23</v>
      </c>
      <c r="K133" s="385">
        <f t="shared" si="21"/>
        <v>6.99</v>
      </c>
      <c r="L133" s="385"/>
      <c r="M133" s="385"/>
      <c r="N133" s="385">
        <f t="shared" si="22"/>
        <v>18.200000000000003</v>
      </c>
      <c r="O133" s="386">
        <v>1.83</v>
      </c>
      <c r="P133" s="385"/>
      <c r="Q133" s="386">
        <f t="shared" si="24"/>
        <v>20.03</v>
      </c>
      <c r="R133" s="386">
        <f t="shared" si="23"/>
        <v>0</v>
      </c>
    </row>
    <row r="134" spans="1:18" ht="36" customHeight="1">
      <c r="A134" s="380">
        <v>9</v>
      </c>
      <c r="B134" s="381" t="s">
        <v>26</v>
      </c>
      <c r="C134" s="391"/>
      <c r="D134" s="385">
        <v>2.54</v>
      </c>
      <c r="E134" s="386">
        <v>0.13</v>
      </c>
      <c r="F134" s="385"/>
      <c r="G134" s="385">
        <f>D134+E134+F134</f>
        <v>2.67</v>
      </c>
      <c r="H134" s="385">
        <f t="shared" si="20"/>
        <v>0</v>
      </c>
      <c r="I134" s="388"/>
      <c r="J134" s="388"/>
      <c r="K134" s="385">
        <f t="shared" si="21"/>
        <v>0</v>
      </c>
      <c r="L134" s="385"/>
      <c r="M134" s="385">
        <f aca="true" t="shared" si="25" ref="M134:M151">H134+K134+L134</f>
        <v>0</v>
      </c>
      <c r="N134" s="385">
        <f t="shared" si="22"/>
        <v>0</v>
      </c>
      <c r="O134" s="388"/>
      <c r="P134" s="385"/>
      <c r="Q134" s="386">
        <f t="shared" si="24"/>
        <v>0</v>
      </c>
      <c r="R134" s="386">
        <f t="shared" si="23"/>
        <v>0</v>
      </c>
    </row>
    <row r="135" spans="1:18" ht="31.5">
      <c r="A135" s="380">
        <v>10</v>
      </c>
      <c r="B135" s="381" t="s">
        <v>27</v>
      </c>
      <c r="C135" s="391"/>
      <c r="D135" s="385"/>
      <c r="E135" s="386"/>
      <c r="F135" s="385"/>
      <c r="G135" s="385">
        <f>D135+E135+F135</f>
        <v>0</v>
      </c>
      <c r="H135" s="385">
        <f t="shared" si="20"/>
        <v>0</v>
      </c>
      <c r="I135" s="388"/>
      <c r="J135" s="388"/>
      <c r="K135" s="385">
        <f t="shared" si="21"/>
        <v>0</v>
      </c>
      <c r="L135" s="385"/>
      <c r="M135" s="385">
        <f t="shared" si="25"/>
        <v>0</v>
      </c>
      <c r="N135" s="385">
        <f t="shared" si="22"/>
        <v>0</v>
      </c>
      <c r="O135" s="388"/>
      <c r="P135" s="385"/>
      <c r="Q135" s="386">
        <f t="shared" si="24"/>
        <v>0</v>
      </c>
      <c r="R135" s="386">
        <f t="shared" si="23"/>
        <v>0</v>
      </c>
    </row>
    <row r="136" spans="1:255" s="407" customFormat="1" ht="47.25">
      <c r="A136" s="380">
        <v>11</v>
      </c>
      <c r="B136" s="381" t="s">
        <v>11</v>
      </c>
      <c r="C136" s="391"/>
      <c r="D136" s="385">
        <v>0.24</v>
      </c>
      <c r="E136" s="388"/>
      <c r="F136" s="385"/>
      <c r="G136" s="385"/>
      <c r="H136" s="385">
        <f t="shared" si="20"/>
        <v>0.24</v>
      </c>
      <c r="I136" s="388"/>
      <c r="J136" s="388"/>
      <c r="K136" s="385">
        <f t="shared" si="21"/>
        <v>0</v>
      </c>
      <c r="L136" s="385"/>
      <c r="M136" s="385">
        <f t="shared" si="25"/>
        <v>0.24</v>
      </c>
      <c r="N136" s="385">
        <f t="shared" si="22"/>
        <v>0</v>
      </c>
      <c r="O136" s="388"/>
      <c r="P136" s="385"/>
      <c r="Q136" s="386">
        <f t="shared" si="24"/>
        <v>0</v>
      </c>
      <c r="R136" s="386">
        <f t="shared" si="23"/>
        <v>0</v>
      </c>
      <c r="IU136" s="387"/>
    </row>
    <row r="137" spans="1:255" s="407" customFormat="1" ht="31.5">
      <c r="A137" s="380">
        <v>12</v>
      </c>
      <c r="B137" s="381" t="s">
        <v>12</v>
      </c>
      <c r="C137" s="391"/>
      <c r="D137" s="385">
        <v>0.8</v>
      </c>
      <c r="E137" s="388"/>
      <c r="F137" s="385"/>
      <c r="G137" s="385"/>
      <c r="H137" s="385">
        <f t="shared" si="20"/>
        <v>0.8</v>
      </c>
      <c r="I137" s="388"/>
      <c r="J137" s="388"/>
      <c r="K137" s="385">
        <f t="shared" si="21"/>
        <v>0</v>
      </c>
      <c r="L137" s="385"/>
      <c r="M137" s="385">
        <f t="shared" si="25"/>
        <v>0.8</v>
      </c>
      <c r="N137" s="385">
        <f t="shared" si="22"/>
        <v>0</v>
      </c>
      <c r="O137" s="388"/>
      <c r="P137" s="385"/>
      <c r="Q137" s="386">
        <f t="shared" si="24"/>
        <v>0</v>
      </c>
      <c r="R137" s="386">
        <f t="shared" si="23"/>
        <v>0</v>
      </c>
      <c r="IU137" s="387"/>
    </row>
    <row r="138" spans="1:255" s="407" customFormat="1" ht="35.25" customHeight="1">
      <c r="A138" s="380">
        <v>13</v>
      </c>
      <c r="B138" s="381" t="s">
        <v>13</v>
      </c>
      <c r="C138" s="391"/>
      <c r="D138" s="385"/>
      <c r="E138" s="388"/>
      <c r="F138" s="385"/>
      <c r="G138" s="385">
        <f>D138+E138+F138</f>
        <v>0</v>
      </c>
      <c r="H138" s="385">
        <f t="shared" si="20"/>
        <v>0</v>
      </c>
      <c r="I138" s="388"/>
      <c r="J138" s="388"/>
      <c r="K138" s="385">
        <f t="shared" si="21"/>
        <v>0</v>
      </c>
      <c r="L138" s="385"/>
      <c r="M138" s="385">
        <f t="shared" si="25"/>
        <v>0</v>
      </c>
      <c r="N138" s="385">
        <f t="shared" si="22"/>
        <v>0</v>
      </c>
      <c r="O138" s="388"/>
      <c r="P138" s="385"/>
      <c r="Q138" s="386">
        <f t="shared" si="24"/>
        <v>0</v>
      </c>
      <c r="R138" s="386">
        <f t="shared" si="23"/>
        <v>0</v>
      </c>
      <c r="IU138" s="387"/>
    </row>
    <row r="139" spans="1:255" s="407" customFormat="1" ht="31.5">
      <c r="A139" s="380">
        <v>14</v>
      </c>
      <c r="B139" s="381" t="s">
        <v>5</v>
      </c>
      <c r="C139" s="391"/>
      <c r="D139" s="385">
        <f>0.09+0.01</f>
        <v>0.09999999999999999</v>
      </c>
      <c r="E139" s="388">
        <v>0.95</v>
      </c>
      <c r="F139" s="385"/>
      <c r="G139" s="385"/>
      <c r="H139" s="385">
        <f t="shared" si="20"/>
        <v>1.05</v>
      </c>
      <c r="I139" s="386">
        <v>2.23</v>
      </c>
      <c r="J139" s="386">
        <v>10.1</v>
      </c>
      <c r="K139" s="385">
        <f t="shared" si="21"/>
        <v>12.33</v>
      </c>
      <c r="L139" s="385"/>
      <c r="M139" s="385">
        <f t="shared" si="25"/>
        <v>13.38</v>
      </c>
      <c r="N139" s="385">
        <f t="shared" si="22"/>
        <v>0</v>
      </c>
      <c r="O139" s="386"/>
      <c r="P139" s="385"/>
      <c r="Q139" s="386">
        <f t="shared" si="24"/>
        <v>0</v>
      </c>
      <c r="R139" s="386">
        <f t="shared" si="23"/>
        <v>0</v>
      </c>
      <c r="IU139" s="387"/>
    </row>
    <row r="140" spans="1:255" s="407" customFormat="1" ht="18" customHeight="1">
      <c r="A140" s="380">
        <v>15</v>
      </c>
      <c r="B140" s="381" t="s">
        <v>28</v>
      </c>
      <c r="C140" s="391"/>
      <c r="D140" s="385">
        <v>4.59</v>
      </c>
      <c r="E140" s="386">
        <v>2.75</v>
      </c>
      <c r="F140" s="385"/>
      <c r="G140" s="385">
        <v>3.78</v>
      </c>
      <c r="H140" s="385">
        <f t="shared" si="20"/>
        <v>3.56</v>
      </c>
      <c r="I140" s="386"/>
      <c r="J140" s="388"/>
      <c r="K140" s="385">
        <f t="shared" si="21"/>
        <v>0</v>
      </c>
      <c r="L140" s="385"/>
      <c r="M140" s="385">
        <f t="shared" si="25"/>
        <v>3.56</v>
      </c>
      <c r="N140" s="385">
        <f t="shared" si="22"/>
        <v>0</v>
      </c>
      <c r="O140" s="388"/>
      <c r="P140" s="385"/>
      <c r="Q140" s="386">
        <f t="shared" si="24"/>
        <v>0</v>
      </c>
      <c r="R140" s="386">
        <f t="shared" si="23"/>
        <v>0</v>
      </c>
      <c r="IU140" s="387"/>
    </row>
    <row r="141" spans="1:255" s="407" customFormat="1" ht="24" customHeight="1">
      <c r="A141" s="380">
        <v>16</v>
      </c>
      <c r="B141" s="381" t="s">
        <v>29</v>
      </c>
      <c r="C141" s="391"/>
      <c r="D141" s="385"/>
      <c r="E141" s="386">
        <v>0.89</v>
      </c>
      <c r="F141" s="385"/>
      <c r="G141" s="385"/>
      <c r="H141" s="385">
        <f t="shared" si="20"/>
        <v>0.89</v>
      </c>
      <c r="I141" s="386"/>
      <c r="J141" s="388"/>
      <c r="K141" s="385">
        <f t="shared" si="21"/>
        <v>0</v>
      </c>
      <c r="L141" s="385"/>
      <c r="M141" s="385">
        <f t="shared" si="25"/>
        <v>0.89</v>
      </c>
      <c r="N141" s="385">
        <f t="shared" si="22"/>
        <v>0</v>
      </c>
      <c r="O141" s="388"/>
      <c r="P141" s="385"/>
      <c r="Q141" s="386">
        <f t="shared" si="24"/>
        <v>0</v>
      </c>
      <c r="R141" s="386">
        <f t="shared" si="23"/>
        <v>0</v>
      </c>
      <c r="IU141" s="387"/>
    </row>
    <row r="142" spans="1:255" s="407" customFormat="1" ht="31.5">
      <c r="A142" s="380">
        <v>17</v>
      </c>
      <c r="B142" s="381" t="s">
        <v>31</v>
      </c>
      <c r="C142" s="391"/>
      <c r="D142" s="385">
        <v>0.81</v>
      </c>
      <c r="E142" s="386"/>
      <c r="F142" s="385"/>
      <c r="G142" s="385"/>
      <c r="H142" s="385">
        <f t="shared" si="20"/>
        <v>0.81</v>
      </c>
      <c r="I142" s="386"/>
      <c r="J142" s="388"/>
      <c r="K142" s="385">
        <f t="shared" si="21"/>
        <v>0</v>
      </c>
      <c r="L142" s="385"/>
      <c r="M142" s="385">
        <f t="shared" si="25"/>
        <v>0.81</v>
      </c>
      <c r="N142" s="385">
        <f t="shared" si="22"/>
        <v>0</v>
      </c>
      <c r="O142" s="385"/>
      <c r="P142" s="385"/>
      <c r="Q142" s="386">
        <f t="shared" si="24"/>
        <v>0</v>
      </c>
      <c r="R142" s="386">
        <f t="shared" si="23"/>
        <v>0</v>
      </c>
      <c r="IU142" s="387"/>
    </row>
    <row r="143" spans="1:255" s="407" customFormat="1" ht="31.5">
      <c r="A143" s="380">
        <v>18</v>
      </c>
      <c r="B143" s="381" t="s">
        <v>32</v>
      </c>
      <c r="C143" s="391"/>
      <c r="D143" s="385">
        <v>1.68</v>
      </c>
      <c r="E143" s="386">
        <v>-0.01</v>
      </c>
      <c r="F143" s="385"/>
      <c r="G143" s="385"/>
      <c r="H143" s="385">
        <f t="shared" si="20"/>
        <v>1.67</v>
      </c>
      <c r="I143" s="386"/>
      <c r="J143" s="388"/>
      <c r="K143" s="385">
        <f t="shared" si="21"/>
        <v>0</v>
      </c>
      <c r="L143" s="385"/>
      <c r="M143" s="385">
        <f t="shared" si="25"/>
        <v>1.67</v>
      </c>
      <c r="N143" s="385">
        <f t="shared" si="22"/>
        <v>0</v>
      </c>
      <c r="O143" s="385"/>
      <c r="P143" s="385"/>
      <c r="Q143" s="386">
        <f t="shared" si="24"/>
        <v>0</v>
      </c>
      <c r="R143" s="386">
        <f t="shared" si="23"/>
        <v>0</v>
      </c>
      <c r="IU143" s="387"/>
    </row>
    <row r="144" spans="1:255" s="407" customFormat="1" ht="23.25" customHeight="1">
      <c r="A144" s="380">
        <v>19</v>
      </c>
      <c r="B144" s="381" t="s">
        <v>6</v>
      </c>
      <c r="C144" s="391"/>
      <c r="D144" s="385"/>
      <c r="E144" s="386">
        <f>6.01+2.05</f>
        <v>8.059999999999999</v>
      </c>
      <c r="F144" s="385"/>
      <c r="G144" s="385">
        <f>D144+E144+F144</f>
        <v>8.059999999999999</v>
      </c>
      <c r="H144" s="385">
        <f t="shared" si="20"/>
        <v>0</v>
      </c>
      <c r="I144" s="386"/>
      <c r="J144" s="388"/>
      <c r="K144" s="385">
        <f t="shared" si="21"/>
        <v>0</v>
      </c>
      <c r="L144" s="385"/>
      <c r="M144" s="385">
        <f t="shared" si="25"/>
        <v>0</v>
      </c>
      <c r="N144" s="385">
        <f t="shared" si="22"/>
        <v>0</v>
      </c>
      <c r="O144" s="385"/>
      <c r="P144" s="385"/>
      <c r="Q144" s="386">
        <f t="shared" si="24"/>
        <v>0</v>
      </c>
      <c r="R144" s="386">
        <f t="shared" si="23"/>
        <v>0</v>
      </c>
      <c r="IU144" s="387"/>
    </row>
    <row r="145" spans="1:255" s="407" customFormat="1" ht="24.75" customHeight="1">
      <c r="A145" s="380">
        <v>20</v>
      </c>
      <c r="B145" s="381" t="s">
        <v>7</v>
      </c>
      <c r="C145" s="391"/>
      <c r="D145" s="385"/>
      <c r="E145" s="386">
        <v>3.71</v>
      </c>
      <c r="F145" s="385"/>
      <c r="G145" s="385"/>
      <c r="H145" s="385">
        <f t="shared" si="20"/>
        <v>3.71</v>
      </c>
      <c r="I145" s="386">
        <v>0.05</v>
      </c>
      <c r="J145" s="386"/>
      <c r="K145" s="385">
        <f t="shared" si="21"/>
        <v>0.05</v>
      </c>
      <c r="L145" s="385"/>
      <c r="M145" s="385">
        <f t="shared" si="25"/>
        <v>3.76</v>
      </c>
      <c r="N145" s="385">
        <f t="shared" si="22"/>
        <v>0</v>
      </c>
      <c r="O145" s="385"/>
      <c r="P145" s="385"/>
      <c r="Q145" s="386">
        <f t="shared" si="24"/>
        <v>0</v>
      </c>
      <c r="R145" s="386">
        <f t="shared" si="23"/>
        <v>0</v>
      </c>
      <c r="IU145" s="387"/>
    </row>
    <row r="146" spans="1:255" s="407" customFormat="1" ht="21" customHeight="1">
      <c r="A146" s="380">
        <v>21</v>
      </c>
      <c r="B146" s="381" t="s">
        <v>341</v>
      </c>
      <c r="C146" s="391"/>
      <c r="D146" s="385">
        <v>0.03</v>
      </c>
      <c r="E146" s="388"/>
      <c r="F146" s="385"/>
      <c r="G146" s="385"/>
      <c r="H146" s="385">
        <f t="shared" si="20"/>
        <v>0.03</v>
      </c>
      <c r="I146" s="388"/>
      <c r="J146" s="388"/>
      <c r="K146" s="385"/>
      <c r="L146" s="385"/>
      <c r="M146" s="385">
        <f t="shared" si="25"/>
        <v>0.03</v>
      </c>
      <c r="N146" s="385">
        <f t="shared" si="22"/>
        <v>0</v>
      </c>
      <c r="O146" s="385"/>
      <c r="P146" s="385"/>
      <c r="Q146" s="386">
        <f t="shared" si="24"/>
        <v>0</v>
      </c>
      <c r="R146" s="386">
        <f t="shared" si="23"/>
        <v>0</v>
      </c>
      <c r="IU146" s="387"/>
    </row>
    <row r="147" spans="1:255" s="407" customFormat="1" ht="36" customHeight="1">
      <c r="A147" s="380">
        <v>22</v>
      </c>
      <c r="B147" s="381" t="s">
        <v>342</v>
      </c>
      <c r="C147" s="391"/>
      <c r="D147" s="385"/>
      <c r="E147" s="388">
        <v>0.91</v>
      </c>
      <c r="F147" s="385"/>
      <c r="G147" s="385">
        <f>D147+E147+F147</f>
        <v>0.91</v>
      </c>
      <c r="H147" s="385">
        <f t="shared" si="20"/>
        <v>0</v>
      </c>
      <c r="I147" s="388"/>
      <c r="J147" s="388"/>
      <c r="K147" s="385"/>
      <c r="L147" s="385"/>
      <c r="M147" s="385">
        <f t="shared" si="25"/>
        <v>0</v>
      </c>
      <c r="N147" s="385">
        <f t="shared" si="22"/>
        <v>0</v>
      </c>
      <c r="O147" s="385"/>
      <c r="P147" s="385"/>
      <c r="Q147" s="386">
        <f t="shared" si="24"/>
        <v>0</v>
      </c>
      <c r="R147" s="386">
        <f t="shared" si="23"/>
        <v>0</v>
      </c>
      <c r="IU147" s="387"/>
    </row>
    <row r="148" spans="1:255" s="407" customFormat="1" ht="36.75" customHeight="1">
      <c r="A148" s="380">
        <v>23</v>
      </c>
      <c r="B148" s="381" t="s">
        <v>343</v>
      </c>
      <c r="C148" s="391"/>
      <c r="D148" s="385">
        <v>0.16</v>
      </c>
      <c r="E148" s="388">
        <v>1.2</v>
      </c>
      <c r="F148" s="385"/>
      <c r="G148" s="385"/>
      <c r="H148" s="385">
        <f t="shared" si="20"/>
        <v>1.3599999999999999</v>
      </c>
      <c r="I148" s="388"/>
      <c r="J148" s="388"/>
      <c r="K148" s="385"/>
      <c r="L148" s="385"/>
      <c r="M148" s="385">
        <f t="shared" si="25"/>
        <v>1.3599999999999999</v>
      </c>
      <c r="N148" s="385">
        <f t="shared" si="22"/>
        <v>0</v>
      </c>
      <c r="O148" s="385"/>
      <c r="P148" s="385"/>
      <c r="Q148" s="386">
        <f t="shared" si="24"/>
        <v>0</v>
      </c>
      <c r="R148" s="386">
        <f t="shared" si="23"/>
        <v>0</v>
      </c>
      <c r="IU148" s="387"/>
    </row>
    <row r="149" spans="1:255" s="407" customFormat="1" ht="27" customHeight="1">
      <c r="A149" s="380">
        <v>24</v>
      </c>
      <c r="B149" s="381" t="s">
        <v>344</v>
      </c>
      <c r="C149" s="391"/>
      <c r="D149" s="385"/>
      <c r="E149" s="388">
        <v>0.33</v>
      </c>
      <c r="F149" s="385"/>
      <c r="G149" s="385">
        <f>D149+E149+F149</f>
        <v>0.33</v>
      </c>
      <c r="H149" s="385">
        <f t="shared" si="20"/>
        <v>0</v>
      </c>
      <c r="I149" s="388"/>
      <c r="J149" s="388"/>
      <c r="K149" s="385"/>
      <c r="L149" s="385"/>
      <c r="M149" s="385">
        <f t="shared" si="25"/>
        <v>0</v>
      </c>
      <c r="N149" s="385">
        <f t="shared" si="22"/>
        <v>0</v>
      </c>
      <c r="O149" s="385"/>
      <c r="P149" s="385"/>
      <c r="Q149" s="386">
        <f t="shared" si="24"/>
        <v>0</v>
      </c>
      <c r="R149" s="386">
        <f t="shared" si="23"/>
        <v>0</v>
      </c>
      <c r="IU149" s="387"/>
    </row>
    <row r="150" spans="1:255" s="407" customFormat="1" ht="43.5" customHeight="1">
      <c r="A150" s="380">
        <v>25</v>
      </c>
      <c r="B150" s="381" t="s">
        <v>345</v>
      </c>
      <c r="C150" s="391"/>
      <c r="D150" s="385">
        <v>0.19</v>
      </c>
      <c r="E150" s="388"/>
      <c r="F150" s="385"/>
      <c r="G150" s="385"/>
      <c r="H150" s="385">
        <f t="shared" si="20"/>
        <v>0.19</v>
      </c>
      <c r="I150" s="388"/>
      <c r="J150" s="388"/>
      <c r="K150" s="385"/>
      <c r="L150" s="385"/>
      <c r="M150" s="385">
        <f t="shared" si="25"/>
        <v>0.19</v>
      </c>
      <c r="N150" s="385">
        <f t="shared" si="22"/>
        <v>0</v>
      </c>
      <c r="O150" s="385"/>
      <c r="P150" s="385"/>
      <c r="Q150" s="386">
        <f t="shared" si="24"/>
        <v>0</v>
      </c>
      <c r="R150" s="386">
        <f t="shared" si="23"/>
        <v>0</v>
      </c>
      <c r="IU150" s="387"/>
    </row>
    <row r="151" spans="1:255" s="407" customFormat="1" ht="36.75" customHeight="1">
      <c r="A151" s="380">
        <v>26</v>
      </c>
      <c r="B151" s="381" t="s">
        <v>346</v>
      </c>
      <c r="C151" s="391"/>
      <c r="D151" s="385">
        <v>0.1</v>
      </c>
      <c r="E151" s="388"/>
      <c r="F151" s="385"/>
      <c r="G151" s="385"/>
      <c r="H151" s="385">
        <f t="shared" si="20"/>
        <v>0.1</v>
      </c>
      <c r="I151" s="388"/>
      <c r="J151" s="388"/>
      <c r="K151" s="385"/>
      <c r="L151" s="385"/>
      <c r="M151" s="385">
        <f t="shared" si="25"/>
        <v>0.1</v>
      </c>
      <c r="N151" s="385">
        <f t="shared" si="22"/>
        <v>0</v>
      </c>
      <c r="O151" s="385"/>
      <c r="P151" s="385"/>
      <c r="Q151" s="386">
        <f t="shared" si="24"/>
        <v>0</v>
      </c>
      <c r="R151" s="386">
        <f t="shared" si="23"/>
        <v>0</v>
      </c>
      <c r="IU151" s="387"/>
    </row>
    <row r="152" spans="1:255" s="407" customFormat="1" ht="69.75" customHeight="1">
      <c r="A152" s="380">
        <v>27</v>
      </c>
      <c r="B152" s="381" t="s">
        <v>347</v>
      </c>
      <c r="C152" s="391"/>
      <c r="D152" s="385"/>
      <c r="E152" s="388"/>
      <c r="F152" s="385"/>
      <c r="G152" s="385"/>
      <c r="H152" s="385"/>
      <c r="I152" s="388"/>
      <c r="J152" s="388">
        <v>0.02</v>
      </c>
      <c r="K152" s="385">
        <f>I152+J152</f>
        <v>0.02</v>
      </c>
      <c r="L152" s="385"/>
      <c r="M152" s="385"/>
      <c r="N152" s="385">
        <f t="shared" si="22"/>
        <v>0.02</v>
      </c>
      <c r="O152" s="385">
        <v>8</v>
      </c>
      <c r="P152" s="385"/>
      <c r="Q152" s="386"/>
      <c r="R152" s="386">
        <f t="shared" si="23"/>
        <v>8.02</v>
      </c>
      <c r="IU152" s="387"/>
    </row>
    <row r="153" spans="1:255" s="407" customFormat="1" ht="50.25" customHeight="1">
      <c r="A153" s="380">
        <v>28</v>
      </c>
      <c r="B153" s="381" t="s">
        <v>348</v>
      </c>
      <c r="C153" s="391"/>
      <c r="D153" s="385"/>
      <c r="E153" s="388"/>
      <c r="F153" s="385"/>
      <c r="G153" s="385"/>
      <c r="H153" s="385"/>
      <c r="I153" s="388"/>
      <c r="J153" s="388">
        <v>0.05</v>
      </c>
      <c r="K153" s="385">
        <f>I153+J153</f>
        <v>0.05</v>
      </c>
      <c r="L153" s="385"/>
      <c r="M153" s="385"/>
      <c r="N153" s="385">
        <f t="shared" si="22"/>
        <v>0.05</v>
      </c>
      <c r="O153" s="385">
        <v>15</v>
      </c>
      <c r="P153" s="385"/>
      <c r="Q153" s="386"/>
      <c r="R153" s="386">
        <f t="shared" si="23"/>
        <v>15.05</v>
      </c>
      <c r="IU153" s="387"/>
    </row>
    <row r="154" spans="1:255" s="407" customFormat="1" ht="24" customHeight="1">
      <c r="A154" s="380">
        <v>29</v>
      </c>
      <c r="B154" s="381" t="s">
        <v>14</v>
      </c>
      <c r="C154" s="391"/>
      <c r="D154" s="385"/>
      <c r="E154" s="388"/>
      <c r="F154" s="385"/>
      <c r="G154" s="385"/>
      <c r="H154" s="385"/>
      <c r="I154" s="388"/>
      <c r="J154" s="388"/>
      <c r="K154" s="385"/>
      <c r="L154" s="385"/>
      <c r="M154" s="385"/>
      <c r="N154" s="385"/>
      <c r="O154" s="385"/>
      <c r="P154" s="385"/>
      <c r="Q154" s="386"/>
      <c r="R154" s="386"/>
      <c r="IU154" s="387"/>
    </row>
    <row r="155" spans="1:255" s="407" customFormat="1" ht="15.75">
      <c r="A155" s="399"/>
      <c r="B155" s="400" t="s">
        <v>15</v>
      </c>
      <c r="C155" s="406"/>
      <c r="D155" s="406">
        <f aca="true" t="shared" si="26" ref="D155:R155">SUM(D126:D154)</f>
        <v>12.549999999999997</v>
      </c>
      <c r="E155" s="406">
        <f t="shared" si="26"/>
        <v>73.17000000000002</v>
      </c>
      <c r="F155" s="406">
        <f t="shared" si="26"/>
        <v>0</v>
      </c>
      <c r="G155" s="406">
        <f t="shared" si="26"/>
        <v>15.969999999999999</v>
      </c>
      <c r="H155" s="406">
        <f t="shared" si="26"/>
        <v>69.74999999999999</v>
      </c>
      <c r="I155" s="406">
        <f t="shared" si="26"/>
        <v>7.410000000000001</v>
      </c>
      <c r="J155" s="406">
        <f t="shared" si="26"/>
        <v>27.009999999999998</v>
      </c>
      <c r="K155" s="406">
        <f t="shared" si="26"/>
        <v>34.419999999999995</v>
      </c>
      <c r="L155" s="406">
        <f t="shared" si="26"/>
        <v>0</v>
      </c>
      <c r="M155" s="406">
        <f t="shared" si="26"/>
        <v>72.26000000000002</v>
      </c>
      <c r="N155" s="406">
        <f t="shared" si="26"/>
        <v>31.910000000000004</v>
      </c>
      <c r="O155" s="406">
        <f t="shared" si="26"/>
        <v>37.62</v>
      </c>
      <c r="P155" s="406">
        <f t="shared" si="26"/>
        <v>0</v>
      </c>
      <c r="Q155" s="406">
        <f t="shared" si="26"/>
        <v>32.75</v>
      </c>
      <c r="R155" s="406">
        <f t="shared" si="26"/>
        <v>36.78</v>
      </c>
      <c r="IU155" s="387"/>
    </row>
    <row r="156" spans="1:255" s="407" customFormat="1" ht="15.75">
      <c r="A156" s="399"/>
      <c r="B156" s="400" t="s">
        <v>10</v>
      </c>
      <c r="C156" s="406"/>
      <c r="D156" s="406">
        <f aca="true" t="shared" si="27" ref="D156:R156">D155+D124+D79</f>
        <v>361.72999999999996</v>
      </c>
      <c r="E156" s="406">
        <f t="shared" si="27"/>
        <v>160.48000000000005</v>
      </c>
      <c r="F156" s="406">
        <f t="shared" si="27"/>
        <v>8.219999999999999</v>
      </c>
      <c r="G156" s="406">
        <f t="shared" si="27"/>
        <v>24.99</v>
      </c>
      <c r="H156" s="406">
        <f t="shared" si="27"/>
        <v>505.43999999999994</v>
      </c>
      <c r="I156" s="406">
        <f t="shared" si="27"/>
        <v>50.56</v>
      </c>
      <c r="J156" s="406">
        <f t="shared" si="27"/>
        <v>206.10999999999999</v>
      </c>
      <c r="K156" s="406">
        <f t="shared" si="27"/>
        <v>256.67</v>
      </c>
      <c r="L156" s="406">
        <f t="shared" si="27"/>
        <v>0</v>
      </c>
      <c r="M156" s="406">
        <f t="shared" si="27"/>
        <v>416.57</v>
      </c>
      <c r="N156" s="406">
        <f t="shared" si="27"/>
        <v>345.5400000000001</v>
      </c>
      <c r="O156" s="406">
        <f t="shared" si="27"/>
        <v>522.73</v>
      </c>
      <c r="P156" s="406">
        <f t="shared" si="27"/>
        <v>0</v>
      </c>
      <c r="Q156" s="406">
        <f t="shared" si="27"/>
        <v>444.52</v>
      </c>
      <c r="R156" s="406">
        <f t="shared" si="27"/>
        <v>423.74999999999994</v>
      </c>
      <c r="IU156" s="387"/>
    </row>
    <row r="157" spans="1:18" s="412" customFormat="1" ht="34.5" customHeight="1">
      <c r="A157" s="408">
        <v>1</v>
      </c>
      <c r="B157" s="409" t="s">
        <v>995</v>
      </c>
      <c r="C157" s="87"/>
      <c r="D157" s="410">
        <v>59.7</v>
      </c>
      <c r="E157" s="58">
        <f>73.15+0.01+2.14+5</f>
        <v>80.30000000000001</v>
      </c>
      <c r="F157" s="58"/>
      <c r="G157" s="58">
        <f>43.05+0.01+2.14+5</f>
        <v>50.199999999999996</v>
      </c>
      <c r="H157" s="411">
        <f>D157+E157+F157-G157</f>
        <v>89.80000000000001</v>
      </c>
      <c r="I157" s="58">
        <v>24.25</v>
      </c>
      <c r="J157" s="58">
        <f>116.77-I157</f>
        <v>92.52</v>
      </c>
      <c r="K157" s="411">
        <f>I157+J157</f>
        <v>116.77</v>
      </c>
      <c r="L157" s="28">
        <v>0</v>
      </c>
      <c r="M157" s="58">
        <v>0</v>
      </c>
      <c r="N157" s="411">
        <f>H157+K157+L157-M157</f>
        <v>206.57</v>
      </c>
      <c r="O157" s="58">
        <v>67.96</v>
      </c>
      <c r="P157" s="58">
        <v>0</v>
      </c>
      <c r="Q157" s="58"/>
      <c r="R157" s="58">
        <f>N157+O157+P157-Q157</f>
        <v>274.53</v>
      </c>
    </row>
    <row r="158" spans="1:18" s="412" customFormat="1" ht="27" customHeight="1">
      <c r="A158" s="408">
        <v>2</v>
      </c>
      <c r="B158" s="413" t="s">
        <v>996</v>
      </c>
      <c r="C158" s="87"/>
      <c r="D158" s="410">
        <v>22.18</v>
      </c>
      <c r="E158" s="58">
        <v>0.01</v>
      </c>
      <c r="F158" s="58"/>
      <c r="G158" s="58">
        <v>0</v>
      </c>
      <c r="H158" s="411">
        <f>D158+E158+F158-G158</f>
        <v>22.19</v>
      </c>
      <c r="I158" s="58">
        <v>0.0028</v>
      </c>
      <c r="J158" s="58">
        <f>50.37-I158</f>
        <v>50.3672</v>
      </c>
      <c r="K158" s="411">
        <f>I158+J158</f>
        <v>50.37</v>
      </c>
      <c r="L158" s="28">
        <v>0</v>
      </c>
      <c r="M158" s="58"/>
      <c r="N158" s="411">
        <f>H158+K158+L158-M158</f>
        <v>72.56</v>
      </c>
      <c r="O158" s="43">
        <v>48.05</v>
      </c>
      <c r="P158" s="58">
        <v>0</v>
      </c>
      <c r="Q158" s="58"/>
      <c r="R158" s="58">
        <f>N158+O158+P158-Q158</f>
        <v>120.61</v>
      </c>
    </row>
    <row r="159" spans="1:18" s="412" customFormat="1" ht="31.5" customHeight="1">
      <c r="A159" s="408">
        <v>3</v>
      </c>
      <c r="B159" s="413" t="s">
        <v>997</v>
      </c>
      <c r="C159" s="87"/>
      <c r="D159" s="410">
        <v>0</v>
      </c>
      <c r="E159" s="58">
        <v>1.73</v>
      </c>
      <c r="F159" s="58"/>
      <c r="G159" s="58">
        <v>0.62</v>
      </c>
      <c r="H159" s="411">
        <f>D159+E159+F159-G159</f>
        <v>1.1099999999999999</v>
      </c>
      <c r="I159" s="58">
        <v>3.43</v>
      </c>
      <c r="J159" s="58">
        <f>10.26-I159</f>
        <v>6.83</v>
      </c>
      <c r="K159" s="411">
        <f>I159+J159</f>
        <v>10.26</v>
      </c>
      <c r="L159" s="28">
        <v>0</v>
      </c>
      <c r="M159" s="58"/>
      <c r="N159" s="411">
        <f>H159+K159+L159-M159</f>
        <v>11.37</v>
      </c>
      <c r="O159" s="58">
        <v>14.51</v>
      </c>
      <c r="P159" s="58">
        <v>0</v>
      </c>
      <c r="Q159" s="58"/>
      <c r="R159" s="58">
        <f>N159+O159+P159-Q159</f>
        <v>25.88</v>
      </c>
    </row>
    <row r="160" spans="1:18" s="412" customFormat="1" ht="26.25" customHeight="1">
      <c r="A160" s="408">
        <v>4</v>
      </c>
      <c r="B160" s="413" t="s">
        <v>998</v>
      </c>
      <c r="C160" s="87"/>
      <c r="D160" s="410">
        <v>5.37</v>
      </c>
      <c r="E160" s="58">
        <v>3.37</v>
      </c>
      <c r="F160" s="58"/>
      <c r="G160" s="58">
        <v>1</v>
      </c>
      <c r="H160" s="411">
        <f>D160+E160+F160-G160</f>
        <v>7.74</v>
      </c>
      <c r="I160" s="58">
        <v>1.1</v>
      </c>
      <c r="J160" s="58">
        <f>13.42-I160</f>
        <v>12.32</v>
      </c>
      <c r="K160" s="411">
        <f>I160+J160</f>
        <v>13.42</v>
      </c>
      <c r="L160" s="28">
        <v>0</v>
      </c>
      <c r="M160" s="58">
        <v>0</v>
      </c>
      <c r="N160" s="411">
        <f>H160+K160+L160-M160</f>
        <v>21.16</v>
      </c>
      <c r="O160" s="43">
        <v>24.16</v>
      </c>
      <c r="P160" s="58">
        <v>0</v>
      </c>
      <c r="Q160" s="58"/>
      <c r="R160" s="58">
        <f>N160+O160+P160-Q160</f>
        <v>45.32</v>
      </c>
    </row>
    <row r="161" spans="1:18" s="412" customFormat="1" ht="21" customHeight="1">
      <c r="A161" s="408">
        <v>5</v>
      </c>
      <c r="B161" s="413" t="s">
        <v>999</v>
      </c>
      <c r="C161" s="87"/>
      <c r="D161" s="410">
        <v>44.55</v>
      </c>
      <c r="E161" s="58">
        <f>H161-D161</f>
        <v>31.230000000000004</v>
      </c>
      <c r="F161" s="58"/>
      <c r="G161" s="58"/>
      <c r="H161" s="411">
        <v>75.78</v>
      </c>
      <c r="I161" s="58"/>
      <c r="J161" s="58"/>
      <c r="K161" s="411">
        <f>I161+J161</f>
        <v>0</v>
      </c>
      <c r="L161" s="28">
        <v>0</v>
      </c>
      <c r="M161" s="58"/>
      <c r="N161" s="411">
        <f>H161+K161+L161-M161</f>
        <v>75.78</v>
      </c>
      <c r="O161" s="58"/>
      <c r="P161" s="58">
        <v>0</v>
      </c>
      <c r="Q161" s="58"/>
      <c r="R161" s="58">
        <f>N161+O161+P161-Q161</f>
        <v>75.78</v>
      </c>
    </row>
    <row r="162" spans="1:18" s="412" customFormat="1" ht="21" customHeight="1">
      <c r="A162" s="408">
        <v>6</v>
      </c>
      <c r="B162" s="414" t="s">
        <v>1000</v>
      </c>
      <c r="C162" s="87"/>
      <c r="D162" s="415">
        <f>D156+D157+D158+D159+D160+D161</f>
        <v>493.53</v>
      </c>
      <c r="E162" s="415">
        <f aca="true" t="shared" si="28" ref="E162:Q162">E156+E157+E158+E159+E160+E161</f>
        <v>277.12000000000006</v>
      </c>
      <c r="F162" s="415">
        <f t="shared" si="28"/>
        <v>8.219999999999999</v>
      </c>
      <c r="G162" s="415">
        <f t="shared" si="28"/>
        <v>76.81</v>
      </c>
      <c r="H162" s="415">
        <f t="shared" si="28"/>
        <v>702.0600000000001</v>
      </c>
      <c r="I162" s="415">
        <f t="shared" si="28"/>
        <v>79.3428</v>
      </c>
      <c r="J162" s="415">
        <f t="shared" si="28"/>
        <v>368.1472</v>
      </c>
      <c r="K162" s="415">
        <f t="shared" si="28"/>
        <v>447.49</v>
      </c>
      <c r="L162" s="415">
        <f>'TRF-3'!Q91</f>
        <v>2.1505456874999997</v>
      </c>
      <c r="M162" s="415">
        <f t="shared" si="28"/>
        <v>416.57</v>
      </c>
      <c r="N162" s="415">
        <f>N156+N157+N158+N159+N160+N161+L162</f>
        <v>735.1305456875</v>
      </c>
      <c r="O162" s="415">
        <f t="shared" si="28"/>
        <v>677.41</v>
      </c>
      <c r="P162" s="415">
        <f>'TRF-3'!W91</f>
        <v>5.481452374999999</v>
      </c>
      <c r="Q162" s="415">
        <f t="shared" si="28"/>
        <v>444.52</v>
      </c>
      <c r="R162" s="415">
        <f>R156+R157+R158+R159+R160+R161+L162+P162</f>
        <v>973.5019980625</v>
      </c>
    </row>
    <row r="163" spans="1:18" s="416" customFormat="1" ht="12" customHeight="1">
      <c r="A163" s="507"/>
      <c r="B163" s="508"/>
      <c r="C163" s="509"/>
      <c r="D163" s="509"/>
      <c r="E163" s="509"/>
      <c r="F163" s="509"/>
      <c r="G163" s="509"/>
      <c r="H163" s="509"/>
      <c r="I163" s="509"/>
      <c r="J163" s="509"/>
      <c r="K163" s="509"/>
      <c r="L163" s="509"/>
      <c r="M163" s="509"/>
      <c r="N163" s="509"/>
      <c r="O163" s="509"/>
      <c r="P163" s="509"/>
      <c r="Q163" s="509"/>
      <c r="R163" s="509"/>
    </row>
    <row r="164" s="416" customFormat="1" ht="12.75">
      <c r="A164" s="417"/>
    </row>
    <row r="165" spans="1:18" s="416" customFormat="1" ht="12.75">
      <c r="A165" s="417"/>
      <c r="B165" s="510" t="s">
        <v>1001</v>
      </c>
      <c r="C165" s="510"/>
      <c r="D165" s="510"/>
      <c r="E165" s="510">
        <f>E155</f>
        <v>73.17000000000002</v>
      </c>
      <c r="F165" s="510">
        <f>F144</f>
        <v>0</v>
      </c>
      <c r="G165" s="510">
        <f>G155</f>
        <v>15.969999999999999</v>
      </c>
      <c r="H165" s="510">
        <f>H155</f>
        <v>69.74999999999999</v>
      </c>
      <c r="I165" s="510"/>
      <c r="J165" s="510"/>
      <c r="K165" s="510">
        <f>K155</f>
        <v>34.419999999999995</v>
      </c>
      <c r="L165" s="510">
        <f>L144</f>
        <v>0</v>
      </c>
      <c r="M165" s="510"/>
      <c r="N165" s="510">
        <f>N144</f>
        <v>0</v>
      </c>
      <c r="O165" s="510">
        <f>O155</f>
        <v>37.62</v>
      </c>
      <c r="P165" s="510">
        <f>P144</f>
        <v>0</v>
      </c>
      <c r="Q165" s="510"/>
      <c r="R165" s="510">
        <f>R144</f>
        <v>0</v>
      </c>
    </row>
    <row r="166" spans="1:16" s="416" customFormat="1" ht="12.75">
      <c r="A166" s="417"/>
      <c r="K166" s="511">
        <f>K162-K165</f>
        <v>413.07</v>
      </c>
      <c r="L166" s="416">
        <f>'[6]TRF-3'!Q145</f>
        <v>0</v>
      </c>
      <c r="O166" s="511">
        <f>O162-O165</f>
        <v>639.79</v>
      </c>
      <c r="P166" s="416">
        <f>'[6]TRF-3'!W145</f>
        <v>0</v>
      </c>
    </row>
    <row r="167" spans="1:4" s="416" customFormat="1" ht="12.75">
      <c r="A167" s="417"/>
      <c r="D167" s="512"/>
    </row>
    <row r="168" spans="1:16" s="416" customFormat="1" ht="12.75">
      <c r="A168" s="417"/>
      <c r="D168" s="512"/>
      <c r="I168" s="416">
        <f>D162</f>
        <v>493.53</v>
      </c>
      <c r="J168" s="416">
        <f>H162</f>
        <v>702.0600000000001</v>
      </c>
      <c r="K168" s="513">
        <f>L166/K169</f>
        <v>0</v>
      </c>
      <c r="O168" s="416">
        <f>N162</f>
        <v>735.1305456875</v>
      </c>
      <c r="P168" s="513">
        <f>P166/P169</f>
        <v>0</v>
      </c>
    </row>
    <row r="169" spans="1:16" s="416" customFormat="1" ht="12.75">
      <c r="A169" s="417"/>
      <c r="D169" s="512"/>
      <c r="I169" s="416">
        <f>E162</f>
        <v>277.12000000000006</v>
      </c>
      <c r="J169" s="416">
        <f>K162</f>
        <v>447.49</v>
      </c>
      <c r="K169" s="514">
        <f>H162+K162</f>
        <v>1149.5500000000002</v>
      </c>
      <c r="O169" s="416">
        <f>O162</f>
        <v>677.41</v>
      </c>
      <c r="P169" s="514">
        <f>N162+O162</f>
        <v>1412.5405456875</v>
      </c>
    </row>
    <row r="170" spans="1:15" s="416" customFormat="1" ht="12.75">
      <c r="A170" s="417"/>
      <c r="D170" s="512"/>
      <c r="I170" s="416">
        <f>F162</f>
        <v>8.219999999999999</v>
      </c>
      <c r="J170" s="416">
        <f>L162</f>
        <v>2.1505456874999997</v>
      </c>
      <c r="O170" s="416">
        <f>P162</f>
        <v>5.481452374999999</v>
      </c>
    </row>
    <row r="171" spans="1:15" s="416" customFormat="1" ht="12.75">
      <c r="A171" s="417"/>
      <c r="D171" s="512"/>
      <c r="I171" s="416">
        <f>I168+I169+I170</f>
        <v>778.8700000000001</v>
      </c>
      <c r="J171" s="416">
        <f>J168+J169+J170</f>
        <v>1151.7005456875002</v>
      </c>
      <c r="O171" s="416">
        <f>O168+O169+O170</f>
        <v>1418.0219980625</v>
      </c>
    </row>
    <row r="172" spans="1:15" s="416" customFormat="1" ht="12.75">
      <c r="A172" s="417"/>
      <c r="D172" s="512"/>
      <c r="I172" s="416">
        <f>G162</f>
        <v>76.81</v>
      </c>
      <c r="J172" s="416">
        <f>M162</f>
        <v>416.57</v>
      </c>
      <c r="O172" s="416">
        <f>Q162</f>
        <v>444.52</v>
      </c>
    </row>
    <row r="173" spans="1:15" s="416" customFormat="1" ht="12.75">
      <c r="A173" s="417"/>
      <c r="D173" s="512"/>
      <c r="I173" s="416">
        <f>I171-I172</f>
        <v>702.0600000000002</v>
      </c>
      <c r="J173" s="416">
        <f>J171-J172</f>
        <v>735.1305456875002</v>
      </c>
      <c r="O173" s="416">
        <f>O171-O172</f>
        <v>973.5019980625</v>
      </c>
    </row>
    <row r="174" spans="1:4" s="416" customFormat="1" ht="12.75">
      <c r="A174" s="417"/>
      <c r="D174" s="512"/>
    </row>
    <row r="175" s="416" customFormat="1" ht="12.75">
      <c r="A175" s="417"/>
    </row>
    <row r="176" spans="1:4" s="416" customFormat="1" ht="12.75">
      <c r="A176" s="417"/>
      <c r="D176" s="512"/>
    </row>
    <row r="177" s="416" customFormat="1" ht="12.75">
      <c r="A177" s="417"/>
    </row>
    <row r="178" s="416" customFormat="1" ht="12.75">
      <c r="A178" s="417"/>
    </row>
    <row r="179" s="416" customFormat="1" ht="12.75">
      <c r="A179" s="417"/>
    </row>
    <row r="180" s="416" customFormat="1" ht="12.75">
      <c r="A180" s="417"/>
    </row>
    <row r="181" spans="1:2" s="416" customFormat="1" ht="12.75">
      <c r="A181" s="417"/>
      <c r="B181" s="416" t="s">
        <v>149</v>
      </c>
    </row>
    <row r="182" spans="1:5" s="416" customFormat="1" ht="12.75">
      <c r="A182" s="417"/>
      <c r="B182" s="416" t="s">
        <v>150</v>
      </c>
      <c r="E182" s="416">
        <f>E165*22%</f>
        <v>16.097400000000004</v>
      </c>
    </row>
    <row r="183" s="416" customFormat="1" ht="12.75">
      <c r="A183" s="417"/>
    </row>
  </sheetData>
  <sheetProtection/>
  <mergeCells count="4">
    <mergeCell ref="D6:H6"/>
    <mergeCell ref="I6:N6"/>
    <mergeCell ref="O6:R6"/>
    <mergeCell ref="I7:K7"/>
  </mergeCells>
  <printOptions/>
  <pageMargins left="0.17" right="0.17" top="0.34" bottom="0.26" header="0.33" footer="0.17"/>
  <pageSetup horizontalDpi="600" verticalDpi="600" orientation="landscape" scale="66" r:id="rId1"/>
  <colBreaks count="1" manualBreakCount="1">
    <brk id="1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O396"/>
  <sheetViews>
    <sheetView zoomScalePageLayoutView="0" workbookViewId="0" topLeftCell="A8">
      <pane xSplit="3" ySplit="8" topLeftCell="I17" activePane="bottomRight" state="frozen"/>
      <selection pane="topLeft" activeCell="A8" sqref="A8"/>
      <selection pane="topRight" activeCell="D8" sqref="D8"/>
      <selection pane="bottomLeft" activeCell="A11" sqref="A11"/>
      <selection pane="bottomRight" activeCell="B10" sqref="B10"/>
    </sheetView>
  </sheetViews>
  <sheetFormatPr defaultColWidth="9.140625" defaultRowHeight="12.75"/>
  <cols>
    <col min="1" max="1" width="3.8515625" style="228" customWidth="1"/>
    <col min="2" max="2" width="25.28125" style="114" customWidth="1"/>
    <col min="3" max="3" width="8.421875" style="114" customWidth="1"/>
    <col min="4" max="4" width="11.57421875" style="157" customWidth="1"/>
    <col min="5" max="5" width="10.140625" style="157" customWidth="1"/>
    <col min="6" max="6" width="8.28125" style="114" customWidth="1"/>
    <col min="7" max="7" width="10.140625" style="114" customWidth="1"/>
    <col min="8" max="8" width="10.421875" style="114" customWidth="1"/>
    <col min="9" max="9" width="9.7109375" style="114" bestFit="1" customWidth="1"/>
    <col min="10" max="10" width="10.00390625" style="114" customWidth="1"/>
    <col min="11" max="11" width="8.7109375" style="114" customWidth="1"/>
    <col min="12" max="12" width="11.00390625" style="114" customWidth="1"/>
    <col min="13" max="13" width="9.57421875" style="114" customWidth="1"/>
    <col min="14" max="14" width="11.421875" style="114" customWidth="1"/>
    <col min="15" max="15" width="8.421875" style="114" customWidth="1"/>
    <col min="16" max="16" width="10.28125" style="114" customWidth="1"/>
    <col min="17" max="17" width="8.28125" style="114" customWidth="1"/>
    <col min="18" max="18" width="10.28125" style="114" customWidth="1"/>
    <col min="19" max="19" width="10.421875" style="114" bestFit="1" customWidth="1"/>
    <col min="20" max="20" width="12.140625" style="114" customWidth="1"/>
    <col min="21" max="22" width="9.7109375" style="114" customWidth="1"/>
    <col min="23" max="23" width="11.28125" style="114" customWidth="1"/>
    <col min="24" max="24" width="9.00390625" style="114" bestFit="1" customWidth="1"/>
    <col min="25" max="16384" width="9.140625" style="114" customWidth="1"/>
  </cols>
  <sheetData>
    <row r="1" ht="12.75">
      <c r="A1" s="130" t="s">
        <v>540</v>
      </c>
    </row>
    <row r="2" spans="1:3" ht="12.75">
      <c r="A2" s="560"/>
      <c r="B2" s="560"/>
      <c r="C2" s="560"/>
    </row>
    <row r="3" spans="1:5" ht="27.75" customHeight="1">
      <c r="A3" s="114"/>
      <c r="E3" s="262" t="s">
        <v>210</v>
      </c>
    </row>
    <row r="4" spans="1:3" ht="15.75" customHeight="1">
      <c r="A4" s="114"/>
      <c r="B4" s="98" t="s">
        <v>576</v>
      </c>
      <c r="C4" s="263"/>
    </row>
    <row r="5" spans="1:3" ht="15.75" customHeight="1">
      <c r="A5" s="114"/>
      <c r="B5" s="98" t="s">
        <v>577</v>
      </c>
      <c r="C5" s="263"/>
    </row>
    <row r="6" spans="1:3" ht="15.75" customHeight="1">
      <c r="A6" s="114"/>
      <c r="B6" s="264" t="s">
        <v>1197</v>
      </c>
      <c r="C6" s="263"/>
    </row>
    <row r="7" spans="1:23" ht="12.75">
      <c r="A7" s="229"/>
      <c r="B7" s="274"/>
      <c r="C7" s="275"/>
      <c r="D7" s="424"/>
      <c r="E7" s="424"/>
      <c r="F7" s="274"/>
      <c r="G7" s="274"/>
      <c r="H7" s="274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</row>
    <row r="8" spans="1:23" ht="12.75">
      <c r="A8" s="273"/>
      <c r="B8" s="205"/>
      <c r="C8" s="75"/>
      <c r="D8" s="151"/>
      <c r="E8" s="151"/>
      <c r="F8" s="205"/>
      <c r="G8" s="205"/>
      <c r="H8" s="205"/>
      <c r="I8" s="425"/>
      <c r="J8" s="79"/>
      <c r="K8" s="79"/>
      <c r="L8" s="79"/>
      <c r="M8" s="79"/>
      <c r="N8" s="79"/>
      <c r="O8" s="79"/>
      <c r="P8" s="79"/>
      <c r="Q8" s="79"/>
      <c r="R8" s="79"/>
      <c r="S8" s="205"/>
      <c r="T8" s="79"/>
      <c r="U8" s="79"/>
      <c r="V8" s="79"/>
      <c r="W8" s="79"/>
    </row>
    <row r="9" spans="1:23" ht="15.75">
      <c r="A9" s="273"/>
      <c r="B9" s="205"/>
      <c r="C9" s="75"/>
      <c r="D9" s="151"/>
      <c r="E9" s="151"/>
      <c r="F9" s="205"/>
      <c r="G9" s="205"/>
      <c r="H9" s="205"/>
      <c r="I9" s="429" t="s">
        <v>1398</v>
      </c>
      <c r="J9" s="79"/>
      <c r="K9" s="79"/>
      <c r="L9" s="79"/>
      <c r="M9" s="79"/>
      <c r="N9" s="79"/>
      <c r="O9" s="79"/>
      <c r="P9" s="79"/>
      <c r="Q9" s="79"/>
      <c r="R9" s="79"/>
      <c r="S9" s="205"/>
      <c r="T9" s="79"/>
      <c r="U9" s="79"/>
      <c r="V9" s="79"/>
      <c r="W9" s="79"/>
    </row>
    <row r="10" spans="1:23" ht="12.75">
      <c r="A10" s="273"/>
      <c r="B10" s="205"/>
      <c r="C10" s="75"/>
      <c r="D10" s="151"/>
      <c r="E10" s="151"/>
      <c r="F10" s="205"/>
      <c r="G10" s="205"/>
      <c r="H10" s="205"/>
      <c r="I10" s="425"/>
      <c r="J10" s="79"/>
      <c r="K10" s="79"/>
      <c r="L10" s="79"/>
      <c r="M10" s="79"/>
      <c r="N10" s="79"/>
      <c r="O10" s="79"/>
      <c r="P10" s="79"/>
      <c r="Q10" s="79"/>
      <c r="R10" s="79"/>
      <c r="S10" s="205"/>
      <c r="T10" s="79"/>
      <c r="U10" s="86" t="s">
        <v>1063</v>
      </c>
      <c r="V10" s="79"/>
      <c r="W10" s="79"/>
    </row>
    <row r="11" spans="1:23" ht="15.75">
      <c r="A11" s="273"/>
      <c r="B11" s="429"/>
      <c r="C11" s="430"/>
      <c r="D11" s="429"/>
      <c r="E11" s="429"/>
      <c r="F11" s="429"/>
      <c r="G11" s="429"/>
      <c r="H11" s="429"/>
      <c r="I11" s="425"/>
      <c r="J11" s="79"/>
      <c r="K11" s="79"/>
      <c r="L11" s="79"/>
      <c r="M11" s="79"/>
      <c r="N11" s="79"/>
      <c r="O11" s="79"/>
      <c r="P11" s="79"/>
      <c r="Q11" s="79"/>
      <c r="R11" s="79"/>
      <c r="T11" s="79"/>
      <c r="U11" s="79"/>
      <c r="V11" s="79"/>
      <c r="W11" s="79"/>
    </row>
    <row r="12" spans="1:23" ht="13.5" customHeight="1">
      <c r="A12" s="229"/>
      <c r="B12" s="206"/>
      <c r="C12" s="276"/>
      <c r="D12" s="426"/>
      <c r="E12" s="426"/>
      <c r="F12" s="206"/>
      <c r="G12" s="206"/>
      <c r="H12" s="206"/>
      <c r="I12" s="79"/>
      <c r="J12" s="79"/>
      <c r="K12" s="79"/>
      <c r="L12" s="79"/>
      <c r="M12" s="79"/>
      <c r="N12" s="79"/>
      <c r="O12" s="79"/>
      <c r="P12" s="79"/>
      <c r="Q12" s="79"/>
      <c r="R12" s="79"/>
      <c r="T12" s="79"/>
      <c r="U12" s="427" t="s">
        <v>598</v>
      </c>
      <c r="V12" s="79"/>
      <c r="W12" s="79"/>
    </row>
    <row r="13" spans="1:23" ht="16.5" customHeight="1">
      <c r="A13" s="229"/>
      <c r="B13" s="79"/>
      <c r="C13" s="79"/>
      <c r="D13" s="558" t="s">
        <v>886</v>
      </c>
      <c r="E13" s="558"/>
      <c r="F13" s="558" t="s">
        <v>1305</v>
      </c>
      <c r="G13" s="558"/>
      <c r="H13" s="558"/>
      <c r="I13" s="558"/>
      <c r="J13" s="558"/>
      <c r="K13" s="558"/>
      <c r="L13" s="558" t="s">
        <v>1324</v>
      </c>
      <c r="M13" s="558"/>
      <c r="N13" s="558"/>
      <c r="O13" s="558"/>
      <c r="P13" s="558"/>
      <c r="Q13" s="558"/>
      <c r="R13" s="558" t="s">
        <v>876</v>
      </c>
      <c r="S13" s="558"/>
      <c r="T13" s="558"/>
      <c r="U13" s="558"/>
      <c r="V13" s="558"/>
      <c r="W13" s="558"/>
    </row>
    <row r="14" spans="1:23" ht="13.5" customHeight="1">
      <c r="A14" s="229"/>
      <c r="B14" s="79"/>
      <c r="C14" s="79"/>
      <c r="D14" s="558"/>
      <c r="E14" s="558"/>
      <c r="F14" s="558" t="s">
        <v>408</v>
      </c>
      <c r="G14" s="558"/>
      <c r="H14" s="558"/>
      <c r="I14" s="558" t="s">
        <v>1118</v>
      </c>
      <c r="J14" s="558"/>
      <c r="K14" s="559" t="s">
        <v>1117</v>
      </c>
      <c r="L14" s="558" t="s">
        <v>408</v>
      </c>
      <c r="M14" s="558"/>
      <c r="N14" s="558"/>
      <c r="O14" s="558" t="s">
        <v>1118</v>
      </c>
      <c r="P14" s="558"/>
      <c r="Q14" s="559" t="s">
        <v>1117</v>
      </c>
      <c r="R14" s="558" t="s">
        <v>408</v>
      </c>
      <c r="S14" s="558"/>
      <c r="T14" s="558"/>
      <c r="U14" s="558" t="s">
        <v>1118</v>
      </c>
      <c r="V14" s="558"/>
      <c r="W14" s="559" t="s">
        <v>1117</v>
      </c>
    </row>
    <row r="15" spans="1:23" s="265" customFormat="1" ht="43.5" customHeight="1">
      <c r="A15" s="231"/>
      <c r="B15" s="231"/>
      <c r="C15" s="231" t="s">
        <v>407</v>
      </c>
      <c r="D15" s="261" t="s">
        <v>408</v>
      </c>
      <c r="E15" s="261" t="s">
        <v>1116</v>
      </c>
      <c r="F15" s="261" t="s">
        <v>1042</v>
      </c>
      <c r="G15" s="261" t="s">
        <v>1081</v>
      </c>
      <c r="H15" s="261" t="s">
        <v>887</v>
      </c>
      <c r="I15" s="261" t="s">
        <v>1119</v>
      </c>
      <c r="J15" s="261" t="s">
        <v>888</v>
      </c>
      <c r="K15" s="559"/>
      <c r="L15" s="261" t="s">
        <v>1042</v>
      </c>
      <c r="M15" s="261" t="s">
        <v>1081</v>
      </c>
      <c r="N15" s="261" t="s">
        <v>976</v>
      </c>
      <c r="O15" s="261" t="s">
        <v>1119</v>
      </c>
      <c r="P15" s="261" t="s">
        <v>977</v>
      </c>
      <c r="Q15" s="559"/>
      <c r="R15" s="261" t="s">
        <v>1042</v>
      </c>
      <c r="S15" s="261" t="s">
        <v>1081</v>
      </c>
      <c r="T15" s="261" t="s">
        <v>889</v>
      </c>
      <c r="U15" s="261" t="s">
        <v>1119</v>
      </c>
      <c r="V15" s="261" t="s">
        <v>890</v>
      </c>
      <c r="W15" s="559"/>
    </row>
    <row r="16" spans="1:23" s="265" customFormat="1" ht="12.75">
      <c r="A16" s="229" t="s">
        <v>1285</v>
      </c>
      <c r="B16" s="231" t="s">
        <v>724</v>
      </c>
      <c r="C16" s="231"/>
      <c r="D16" s="261"/>
      <c r="E16" s="261"/>
      <c r="F16" s="261"/>
      <c r="G16" s="261"/>
      <c r="H16" s="261"/>
      <c r="I16" s="261"/>
      <c r="J16" s="261"/>
      <c r="K16" s="261"/>
      <c r="L16" s="261"/>
      <c r="M16" s="261"/>
      <c r="N16" s="261"/>
      <c r="O16" s="261"/>
      <c r="P16" s="261"/>
      <c r="Q16" s="261"/>
      <c r="R16" s="231"/>
      <c r="S16" s="231"/>
      <c r="T16" s="231"/>
      <c r="U16" s="231"/>
      <c r="V16" s="231"/>
      <c r="W16" s="231"/>
    </row>
    <row r="17" spans="1:23" s="265" customFormat="1" ht="21" customHeight="1">
      <c r="A17" s="229"/>
      <c r="B17" s="413" t="s">
        <v>824</v>
      </c>
      <c r="C17" s="266">
        <v>0.13</v>
      </c>
      <c r="D17" s="72">
        <v>2</v>
      </c>
      <c r="E17" s="72">
        <v>3.88</v>
      </c>
      <c r="F17" s="58">
        <v>0</v>
      </c>
      <c r="G17" s="58">
        <v>0</v>
      </c>
      <c r="H17" s="58">
        <f>D17+F17-G17</f>
        <v>2</v>
      </c>
      <c r="I17" s="58">
        <v>0</v>
      </c>
      <c r="J17" s="58">
        <f>E17+K17-I17</f>
        <v>4.14</v>
      </c>
      <c r="K17" s="58">
        <v>0.26</v>
      </c>
      <c r="L17" s="58">
        <v>0</v>
      </c>
      <c r="M17" s="58">
        <v>0</v>
      </c>
      <c r="N17" s="58">
        <f>H17+L17-M17</f>
        <v>2</v>
      </c>
      <c r="O17" s="58"/>
      <c r="P17" s="58">
        <f>J17+Q17-O17</f>
        <v>4.3999999999999995</v>
      </c>
      <c r="Q17" s="58">
        <v>0.26</v>
      </c>
      <c r="R17" s="231"/>
      <c r="S17" s="58"/>
      <c r="T17" s="58">
        <f>N17+R17-S17</f>
        <v>2</v>
      </c>
      <c r="U17" s="58"/>
      <c r="V17" s="58">
        <f>P17+W17-U17</f>
        <v>4.659999999999999</v>
      </c>
      <c r="W17" s="58">
        <v>0.26</v>
      </c>
    </row>
    <row r="18" spans="1:23" s="265" customFormat="1" ht="19.5" customHeight="1">
      <c r="A18" s="229"/>
      <c r="B18" s="413" t="s">
        <v>825</v>
      </c>
      <c r="C18" s="266">
        <v>0</v>
      </c>
      <c r="D18" s="58">
        <v>15</v>
      </c>
      <c r="E18" s="261">
        <v>0</v>
      </c>
      <c r="F18" s="58">
        <v>0</v>
      </c>
      <c r="G18" s="58">
        <v>0</v>
      </c>
      <c r="H18" s="58">
        <f>D18+F18-G18</f>
        <v>15</v>
      </c>
      <c r="I18" s="58">
        <v>0</v>
      </c>
      <c r="J18" s="58">
        <f>E18+K18-I18</f>
        <v>0</v>
      </c>
      <c r="K18" s="58">
        <v>0</v>
      </c>
      <c r="L18" s="58">
        <v>0</v>
      </c>
      <c r="M18" s="58">
        <v>0</v>
      </c>
      <c r="N18" s="58">
        <f>H18+L18-M18</f>
        <v>15</v>
      </c>
      <c r="O18" s="58"/>
      <c r="P18" s="58">
        <f>J18+Q18-O18</f>
        <v>0</v>
      </c>
      <c r="Q18" s="58"/>
      <c r="R18" s="231"/>
      <c r="S18" s="58"/>
      <c r="T18" s="58">
        <f>N18+R18-S18</f>
        <v>15</v>
      </c>
      <c r="U18" s="58"/>
      <c r="V18" s="58">
        <f>P18+W18-U18</f>
        <v>0</v>
      </c>
      <c r="W18" s="58"/>
    </row>
    <row r="19" spans="1:23" ht="18.75" customHeight="1">
      <c r="A19" s="229"/>
      <c r="B19" s="79" t="s">
        <v>1102</v>
      </c>
      <c r="C19" s="266">
        <v>0.09</v>
      </c>
      <c r="D19" s="58">
        <v>11.26</v>
      </c>
      <c r="E19" s="72">
        <v>23.48</v>
      </c>
      <c r="F19" s="58">
        <v>0</v>
      </c>
      <c r="G19" s="58">
        <v>0</v>
      </c>
      <c r="H19" s="58">
        <f>D19+F19-G19</f>
        <v>11.26</v>
      </c>
      <c r="I19" s="58">
        <v>0</v>
      </c>
      <c r="J19" s="58">
        <f>E19+K19-I19</f>
        <v>24.490000000000002</v>
      </c>
      <c r="K19" s="58">
        <v>1.01</v>
      </c>
      <c r="L19" s="58">
        <v>0</v>
      </c>
      <c r="M19" s="58">
        <v>0</v>
      </c>
      <c r="N19" s="58">
        <f>H19+L19-M19</f>
        <v>11.26</v>
      </c>
      <c r="O19" s="58"/>
      <c r="P19" s="87">
        <f>J19+Q19-O19</f>
        <v>25.500000000000004</v>
      </c>
      <c r="Q19" s="58">
        <v>1.01</v>
      </c>
      <c r="R19" s="79"/>
      <c r="S19" s="58"/>
      <c r="T19" s="58">
        <f>N19+R19-S19</f>
        <v>11.26</v>
      </c>
      <c r="U19" s="58"/>
      <c r="V19" s="58">
        <f>P19+W19-U19</f>
        <v>26.510000000000005</v>
      </c>
      <c r="W19" s="58">
        <v>1.01</v>
      </c>
    </row>
    <row r="20" spans="1:23" ht="19.5" customHeight="1">
      <c r="A20" s="229"/>
      <c r="B20" s="79" t="s">
        <v>1017</v>
      </c>
      <c r="C20" s="266">
        <v>0.13</v>
      </c>
      <c r="D20" s="58">
        <v>400</v>
      </c>
      <c r="E20" s="72">
        <v>0</v>
      </c>
      <c r="F20" s="58">
        <v>0</v>
      </c>
      <c r="G20" s="58">
        <v>0</v>
      </c>
      <c r="H20" s="58">
        <f>D20+F20-G20</f>
        <v>400</v>
      </c>
      <c r="I20" s="58">
        <v>0</v>
      </c>
      <c r="J20" s="58">
        <f>E20+K20-I20</f>
        <v>26</v>
      </c>
      <c r="K20" s="58">
        <v>26</v>
      </c>
      <c r="L20" s="58">
        <v>0</v>
      </c>
      <c r="M20" s="58">
        <v>0</v>
      </c>
      <c r="N20" s="58">
        <f>H20+L20-M20</f>
        <v>400</v>
      </c>
      <c r="O20" s="58"/>
      <c r="P20" s="58">
        <f>J20+Q20-O20</f>
        <v>52</v>
      </c>
      <c r="Q20" s="58">
        <v>26</v>
      </c>
      <c r="R20" s="79"/>
      <c r="S20" s="58"/>
      <c r="T20" s="58">
        <f>N20+R20-S20</f>
        <v>400</v>
      </c>
      <c r="U20" s="58"/>
      <c r="V20" s="58">
        <f>P20+W20-U20</f>
        <v>78</v>
      </c>
      <c r="W20" s="58">
        <v>26</v>
      </c>
    </row>
    <row r="21" spans="1:23" ht="19.5" customHeight="1">
      <c r="A21" s="229"/>
      <c r="B21" s="79" t="s">
        <v>452</v>
      </c>
      <c r="C21" s="266">
        <v>0.13</v>
      </c>
      <c r="D21" s="58"/>
      <c r="E21" s="72">
        <f>347334414/10^7</f>
        <v>34.7334414</v>
      </c>
      <c r="F21" s="58">
        <v>0</v>
      </c>
      <c r="G21" s="58">
        <v>0</v>
      </c>
      <c r="H21" s="58">
        <f>D21+F21-G21</f>
        <v>0</v>
      </c>
      <c r="I21" s="58">
        <v>0</v>
      </c>
      <c r="J21" s="58">
        <f>E21+K21-I21</f>
        <v>34.7334414</v>
      </c>
      <c r="K21" s="58">
        <v>0</v>
      </c>
      <c r="L21" s="58">
        <v>0</v>
      </c>
      <c r="M21" s="58">
        <v>0</v>
      </c>
      <c r="N21" s="58">
        <f>H21+L21-M21</f>
        <v>0</v>
      </c>
      <c r="O21" s="58"/>
      <c r="P21" s="58">
        <f>J21+Q21-O21</f>
        <v>34.7334414</v>
      </c>
      <c r="Q21" s="58"/>
      <c r="R21" s="79"/>
      <c r="S21" s="58"/>
      <c r="T21" s="58">
        <f>N21+R21-S21</f>
        <v>0</v>
      </c>
      <c r="U21" s="58"/>
      <c r="V21" s="58">
        <f>P21+W21-U21</f>
        <v>34.7334414</v>
      </c>
      <c r="W21" s="58"/>
    </row>
    <row r="22" spans="1:23" ht="14.25" customHeight="1">
      <c r="A22" s="229"/>
      <c r="B22" s="267" t="s">
        <v>1018</v>
      </c>
      <c r="C22" s="266"/>
      <c r="D22" s="43">
        <f>SUM(D17:D21)</f>
        <v>428.26</v>
      </c>
      <c r="E22" s="43">
        <f aca="true" t="shared" si="0" ref="E22:W22">SUM(E17:E21)</f>
        <v>62.093441399999996</v>
      </c>
      <c r="F22" s="43">
        <f t="shared" si="0"/>
        <v>0</v>
      </c>
      <c r="G22" s="43">
        <f t="shared" si="0"/>
        <v>0</v>
      </c>
      <c r="H22" s="43">
        <f t="shared" si="0"/>
        <v>428.26</v>
      </c>
      <c r="I22" s="43">
        <f t="shared" si="0"/>
        <v>0</v>
      </c>
      <c r="J22" s="43">
        <f t="shared" si="0"/>
        <v>89.3634414</v>
      </c>
      <c r="K22" s="43">
        <f t="shared" si="0"/>
        <v>27.27</v>
      </c>
      <c r="L22" s="43">
        <f t="shared" si="0"/>
        <v>0</v>
      </c>
      <c r="M22" s="43">
        <f aca="true" t="shared" si="1" ref="M22:R22">SUM(M17:M21)</f>
        <v>0</v>
      </c>
      <c r="N22" s="43">
        <f t="shared" si="1"/>
        <v>428.26</v>
      </c>
      <c r="O22" s="43">
        <f t="shared" si="1"/>
        <v>0</v>
      </c>
      <c r="P22" s="43">
        <f t="shared" si="1"/>
        <v>116.63344140000001</v>
      </c>
      <c r="Q22" s="43">
        <f t="shared" si="1"/>
        <v>27.27</v>
      </c>
      <c r="R22" s="43">
        <f t="shared" si="1"/>
        <v>0</v>
      </c>
      <c r="S22" s="43">
        <f t="shared" si="0"/>
        <v>0</v>
      </c>
      <c r="T22" s="43">
        <f t="shared" si="0"/>
        <v>428.26</v>
      </c>
      <c r="U22" s="43">
        <f t="shared" si="0"/>
        <v>0</v>
      </c>
      <c r="V22" s="43">
        <f t="shared" si="0"/>
        <v>143.9034414</v>
      </c>
      <c r="W22" s="43">
        <f t="shared" si="0"/>
        <v>27.27</v>
      </c>
    </row>
    <row r="23" spans="1:23" ht="15" customHeight="1">
      <c r="A23" s="229" t="s">
        <v>1286</v>
      </c>
      <c r="B23" s="229" t="s">
        <v>725</v>
      </c>
      <c r="C23" s="266"/>
      <c r="D23" s="58"/>
      <c r="E23" s="72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79"/>
      <c r="S23" s="79"/>
      <c r="T23" s="79"/>
      <c r="U23" s="79"/>
      <c r="V23" s="79"/>
      <c r="W23" s="79"/>
    </row>
    <row r="24" spans="1:23" ht="15" customHeight="1" hidden="1">
      <c r="A24" s="229"/>
      <c r="B24" s="79" t="s">
        <v>675</v>
      </c>
      <c r="C24" s="431">
        <v>0.115</v>
      </c>
      <c r="D24" s="58">
        <v>0.5712</v>
      </c>
      <c r="E24" s="72"/>
      <c r="F24" s="58"/>
      <c r="G24" s="58">
        <v>0.05712</v>
      </c>
      <c r="H24" s="58">
        <f>D24+F24-G24</f>
        <v>0.5140800000000001</v>
      </c>
      <c r="I24" s="58"/>
      <c r="J24" s="58"/>
      <c r="K24" s="58"/>
      <c r="L24" s="58"/>
      <c r="M24" s="58">
        <v>0.05712</v>
      </c>
      <c r="N24" s="58">
        <f aca="true" t="shared" si="2" ref="N24:N60">H24+L24-M24</f>
        <v>0.4569600000000001</v>
      </c>
      <c r="O24" s="58">
        <f>Q24</f>
        <v>0.05881325589041096</v>
      </c>
      <c r="P24" s="58"/>
      <c r="Q24" s="244">
        <v>0.05881325589041096</v>
      </c>
      <c r="R24" s="79"/>
      <c r="S24" s="156">
        <v>0.05712</v>
      </c>
      <c r="T24" s="58">
        <f aca="true" t="shared" si="3" ref="T24:T60">N24+R24-S24</f>
        <v>0.3998400000000001</v>
      </c>
      <c r="U24" s="156">
        <v>0.052244455890410955</v>
      </c>
      <c r="V24" s="79"/>
      <c r="W24" s="156">
        <v>0.052244455890410955</v>
      </c>
    </row>
    <row r="25" spans="1:23" ht="15" customHeight="1" hidden="1">
      <c r="A25" s="229"/>
      <c r="B25" s="79" t="s">
        <v>676</v>
      </c>
      <c r="C25" s="431">
        <v>0.125</v>
      </c>
      <c r="D25" s="58">
        <v>2.09863</v>
      </c>
      <c r="E25" s="72"/>
      <c r="F25" s="58"/>
      <c r="G25" s="58">
        <v>0.209863</v>
      </c>
      <c r="H25" s="58">
        <f aca="true" t="shared" si="4" ref="H25:H60">D25+F25-G25</f>
        <v>1.888767</v>
      </c>
      <c r="I25" s="58"/>
      <c r="J25" s="58"/>
      <c r="K25" s="58"/>
      <c r="L25" s="58"/>
      <c r="M25" s="58">
        <v>0.209863</v>
      </c>
      <c r="N25" s="58">
        <f t="shared" si="2"/>
        <v>1.6789040000000002</v>
      </c>
      <c r="O25" s="58">
        <f aca="true" t="shared" si="5" ref="O25:O60">Q25</f>
        <v>0.23659465897945203</v>
      </c>
      <c r="P25" s="58"/>
      <c r="Q25" s="244">
        <v>0.23659465897945203</v>
      </c>
      <c r="R25" s="79"/>
      <c r="S25" s="156">
        <v>0.209863</v>
      </c>
      <c r="T25" s="58">
        <f t="shared" si="3"/>
        <v>1.4690410000000003</v>
      </c>
      <c r="U25" s="156">
        <v>0.2086411948630137</v>
      </c>
      <c r="V25" s="79"/>
      <c r="W25" s="156">
        <v>0.2086411948630137</v>
      </c>
    </row>
    <row r="26" spans="1:23" ht="15" customHeight="1" hidden="1">
      <c r="A26" s="229"/>
      <c r="B26" s="79" t="s">
        <v>677</v>
      </c>
      <c r="C26" s="431">
        <v>0.125</v>
      </c>
      <c r="D26" s="58">
        <v>3.23245</v>
      </c>
      <c r="E26" s="72"/>
      <c r="F26" s="58"/>
      <c r="G26" s="58">
        <v>0.323245</v>
      </c>
      <c r="H26" s="58">
        <f t="shared" si="4"/>
        <v>2.909205</v>
      </c>
      <c r="I26" s="58"/>
      <c r="J26" s="58"/>
      <c r="K26" s="58"/>
      <c r="L26" s="58"/>
      <c r="M26" s="58">
        <v>0.323245</v>
      </c>
      <c r="N26" s="58">
        <f t="shared" si="2"/>
        <v>2.58596</v>
      </c>
      <c r="O26" s="58">
        <f t="shared" si="5"/>
        <v>0.35116805438356163</v>
      </c>
      <c r="P26" s="58"/>
      <c r="Q26" s="244">
        <v>0.35116805438356163</v>
      </c>
      <c r="R26" s="79"/>
      <c r="S26" s="156">
        <v>0.323245</v>
      </c>
      <c r="T26" s="58">
        <f t="shared" si="3"/>
        <v>2.262715</v>
      </c>
      <c r="U26" s="156">
        <v>0.3213630941780822</v>
      </c>
      <c r="V26" s="79"/>
      <c r="W26" s="156">
        <v>0.3213630941780822</v>
      </c>
    </row>
    <row r="27" spans="1:23" ht="15" customHeight="1" hidden="1">
      <c r="A27" s="229"/>
      <c r="B27" s="79" t="s">
        <v>678</v>
      </c>
      <c r="C27" s="431">
        <v>0.11</v>
      </c>
      <c r="D27" s="58">
        <v>2.1905011</v>
      </c>
      <c r="E27" s="72"/>
      <c r="F27" s="58"/>
      <c r="G27" s="58">
        <v>0.2190501</v>
      </c>
      <c r="H27" s="58">
        <f t="shared" si="4"/>
        <v>1.971451</v>
      </c>
      <c r="I27" s="58"/>
      <c r="J27" s="58"/>
      <c r="K27" s="58"/>
      <c r="L27" s="58"/>
      <c r="M27" s="58">
        <v>0.2190501</v>
      </c>
      <c r="N27" s="58">
        <f t="shared" si="2"/>
        <v>1.7524009</v>
      </c>
      <c r="O27" s="58">
        <f t="shared" si="5"/>
        <v>0.2157373533232877</v>
      </c>
      <c r="P27" s="58"/>
      <c r="Q27" s="244">
        <v>0.2157373533232877</v>
      </c>
      <c r="R27" s="79"/>
      <c r="S27" s="156">
        <v>0.2190501</v>
      </c>
      <c r="T27" s="58">
        <f t="shared" si="3"/>
        <v>1.5333508</v>
      </c>
      <c r="U27" s="156">
        <v>0.19164184232328768</v>
      </c>
      <c r="V27" s="79"/>
      <c r="W27" s="156">
        <v>0.19164184232328768</v>
      </c>
    </row>
    <row r="28" spans="1:23" ht="15" customHeight="1" hidden="1">
      <c r="A28" s="229"/>
      <c r="B28" s="79" t="s">
        <v>679</v>
      </c>
      <c r="C28" s="431">
        <v>0.115</v>
      </c>
      <c r="D28" s="58">
        <v>0.1267</v>
      </c>
      <c r="E28" s="72"/>
      <c r="F28" s="58"/>
      <c r="G28" s="58">
        <v>0.01267</v>
      </c>
      <c r="H28" s="58">
        <f t="shared" si="4"/>
        <v>0.11403</v>
      </c>
      <c r="I28" s="58"/>
      <c r="J28" s="58"/>
      <c r="K28" s="58"/>
      <c r="L28" s="58"/>
      <c r="M28" s="58">
        <v>0.01267</v>
      </c>
      <c r="N28" s="58">
        <f t="shared" si="2"/>
        <v>0.10136</v>
      </c>
      <c r="O28" s="58">
        <f t="shared" si="5"/>
        <v>0.013045587397260274</v>
      </c>
      <c r="P28" s="58"/>
      <c r="Q28" s="244">
        <v>0.013045587397260274</v>
      </c>
      <c r="R28" s="79"/>
      <c r="S28" s="156">
        <v>0.01267</v>
      </c>
      <c r="T28" s="58">
        <f t="shared" si="3"/>
        <v>0.08869</v>
      </c>
      <c r="U28" s="156">
        <v>0.011588537397260274</v>
      </c>
      <c r="V28" s="79"/>
      <c r="W28" s="156">
        <v>0.011588537397260274</v>
      </c>
    </row>
    <row r="29" spans="1:23" ht="15" customHeight="1" hidden="1">
      <c r="A29" s="229"/>
      <c r="B29" s="79" t="s">
        <v>680</v>
      </c>
      <c r="C29" s="431">
        <v>0.1225</v>
      </c>
      <c r="D29" s="58">
        <v>4.5192</v>
      </c>
      <c r="E29" s="72"/>
      <c r="F29" s="58"/>
      <c r="G29" s="58">
        <v>0.45192</v>
      </c>
      <c r="H29" s="58">
        <f t="shared" si="4"/>
        <v>4.067279999999999</v>
      </c>
      <c r="I29" s="58"/>
      <c r="J29" s="58"/>
      <c r="K29" s="58"/>
      <c r="L29" s="58"/>
      <c r="M29" s="58">
        <v>0.45192</v>
      </c>
      <c r="N29" s="58">
        <f t="shared" si="2"/>
        <v>3.6153599999999995</v>
      </c>
      <c r="O29" s="58">
        <f t="shared" si="5"/>
        <v>0.4956633797260274</v>
      </c>
      <c r="P29" s="58"/>
      <c r="Q29" s="244">
        <v>0.4956633797260274</v>
      </c>
      <c r="R29" s="79"/>
      <c r="S29" s="156">
        <v>0.45192</v>
      </c>
      <c r="T29" s="58">
        <f t="shared" si="3"/>
        <v>3.1634399999999996</v>
      </c>
      <c r="U29" s="156">
        <v>0.4403031797260274</v>
      </c>
      <c r="V29" s="79"/>
      <c r="W29" s="156">
        <v>0.4403031797260274</v>
      </c>
    </row>
    <row r="30" spans="1:23" ht="15" customHeight="1" hidden="1">
      <c r="A30" s="229"/>
      <c r="B30" s="79" t="s">
        <v>681</v>
      </c>
      <c r="C30" s="431">
        <v>0.125</v>
      </c>
      <c r="D30" s="58">
        <v>5.39119</v>
      </c>
      <c r="E30" s="72"/>
      <c r="F30" s="58"/>
      <c r="G30" s="58">
        <v>0.539119</v>
      </c>
      <c r="H30" s="58">
        <f t="shared" si="4"/>
        <v>4.852071</v>
      </c>
      <c r="I30" s="58"/>
      <c r="J30" s="58"/>
      <c r="K30" s="58"/>
      <c r="L30" s="58"/>
      <c r="M30" s="58">
        <v>0.539119</v>
      </c>
      <c r="N30" s="58">
        <f t="shared" si="2"/>
        <v>4.312951999999999</v>
      </c>
      <c r="O30" s="58">
        <f t="shared" si="5"/>
        <v>0.6033701684931506</v>
      </c>
      <c r="P30" s="58"/>
      <c r="Q30" s="244">
        <v>0.6033701684931506</v>
      </c>
      <c r="R30" s="79"/>
      <c r="S30" s="156">
        <v>0.539119</v>
      </c>
      <c r="T30" s="58">
        <f t="shared" si="3"/>
        <v>3.7738329999999993</v>
      </c>
      <c r="U30" s="156">
        <v>0.5359802934931507</v>
      </c>
      <c r="V30" s="79"/>
      <c r="W30" s="156">
        <v>0.5359802934931507</v>
      </c>
    </row>
    <row r="31" spans="1:23" ht="15" customHeight="1" hidden="1">
      <c r="A31" s="229"/>
      <c r="B31" s="79" t="s">
        <v>682</v>
      </c>
      <c r="C31" s="431">
        <v>0.125</v>
      </c>
      <c r="D31" s="58">
        <v>0.66789</v>
      </c>
      <c r="E31" s="72"/>
      <c r="F31" s="58"/>
      <c r="G31" s="58">
        <v>0.066789</v>
      </c>
      <c r="H31" s="58">
        <f t="shared" si="4"/>
        <v>0.601101</v>
      </c>
      <c r="I31" s="58"/>
      <c r="J31" s="58"/>
      <c r="K31" s="58"/>
      <c r="L31" s="58"/>
      <c r="M31" s="58">
        <v>0.066789</v>
      </c>
      <c r="N31" s="58">
        <f t="shared" si="2"/>
        <v>0.534312</v>
      </c>
      <c r="O31" s="58">
        <f t="shared" si="5"/>
        <v>0.07255847169863014</v>
      </c>
      <c r="P31" s="58"/>
      <c r="Q31" s="244">
        <v>0.07255847169863014</v>
      </c>
      <c r="R31" s="79"/>
      <c r="S31" s="156">
        <v>0.066789</v>
      </c>
      <c r="T31" s="58">
        <f t="shared" si="3"/>
        <v>0.467523</v>
      </c>
      <c r="U31" s="156">
        <v>0.06640015993150684</v>
      </c>
      <c r="V31" s="79"/>
      <c r="W31" s="156">
        <v>0.06640015993150684</v>
      </c>
    </row>
    <row r="32" spans="1:23" ht="15" customHeight="1" hidden="1">
      <c r="A32" s="229"/>
      <c r="B32" s="79" t="s">
        <v>683</v>
      </c>
      <c r="C32" s="431">
        <v>0.11</v>
      </c>
      <c r="D32" s="58">
        <v>2.31381</v>
      </c>
      <c r="E32" s="72"/>
      <c r="F32" s="58"/>
      <c r="G32" s="58">
        <v>0.231381</v>
      </c>
      <c r="H32" s="58">
        <f t="shared" si="4"/>
        <v>2.0824290000000003</v>
      </c>
      <c r="I32" s="58"/>
      <c r="J32" s="58"/>
      <c r="K32" s="58"/>
      <c r="L32" s="58"/>
      <c r="M32" s="58">
        <v>0.231381</v>
      </c>
      <c r="N32" s="58">
        <f t="shared" si="2"/>
        <v>1.8510480000000002</v>
      </c>
      <c r="O32" s="58">
        <f t="shared" si="5"/>
        <v>0.22788175857534246</v>
      </c>
      <c r="P32" s="58"/>
      <c r="Q32" s="244">
        <v>0.22788175857534246</v>
      </c>
      <c r="R32" s="79"/>
      <c r="S32" s="156">
        <v>0.231381</v>
      </c>
      <c r="T32" s="58">
        <f t="shared" si="3"/>
        <v>1.6196670000000002</v>
      </c>
      <c r="U32" s="156">
        <v>0.20242984857534246</v>
      </c>
      <c r="V32" s="79"/>
      <c r="W32" s="156">
        <v>0.20242984857534246</v>
      </c>
    </row>
    <row r="33" spans="1:23" ht="15" customHeight="1" hidden="1">
      <c r="A33" s="229"/>
      <c r="B33" s="79" t="s">
        <v>684</v>
      </c>
      <c r="C33" s="431">
        <v>0.115</v>
      </c>
      <c r="D33" s="58">
        <v>0.21703</v>
      </c>
      <c r="E33" s="72"/>
      <c r="F33" s="58"/>
      <c r="G33" s="58">
        <v>0.021703</v>
      </c>
      <c r="H33" s="58">
        <f t="shared" si="4"/>
        <v>0.195327</v>
      </c>
      <c r="I33" s="58"/>
      <c r="J33" s="58"/>
      <c r="K33" s="58"/>
      <c r="L33" s="58"/>
      <c r="M33" s="58">
        <v>0.021703</v>
      </c>
      <c r="N33" s="58">
        <f t="shared" si="2"/>
        <v>0.173624</v>
      </c>
      <c r="O33" s="58">
        <f t="shared" si="5"/>
        <v>0.02234636016438356</v>
      </c>
      <c r="P33" s="58"/>
      <c r="Q33" s="244">
        <v>0.02234636016438356</v>
      </c>
      <c r="R33" s="79"/>
      <c r="S33" s="156">
        <v>0.021703</v>
      </c>
      <c r="T33" s="58">
        <f t="shared" si="3"/>
        <v>0.151921</v>
      </c>
      <c r="U33" s="156">
        <v>0.01985051516438356</v>
      </c>
      <c r="V33" s="79"/>
      <c r="W33" s="156">
        <v>0.01985051516438356</v>
      </c>
    </row>
    <row r="34" spans="1:23" ht="15" customHeight="1" hidden="1">
      <c r="A34" s="229"/>
      <c r="B34" s="79" t="s">
        <v>685</v>
      </c>
      <c r="C34" s="431">
        <v>0.125</v>
      </c>
      <c r="D34" s="58">
        <v>3.82439</v>
      </c>
      <c r="E34" s="72"/>
      <c r="F34" s="58"/>
      <c r="G34" s="58">
        <v>0.382439</v>
      </c>
      <c r="H34" s="58">
        <f t="shared" si="4"/>
        <v>3.4419510000000004</v>
      </c>
      <c r="I34" s="58"/>
      <c r="J34" s="58"/>
      <c r="K34" s="58"/>
      <c r="L34" s="58"/>
      <c r="M34" s="58">
        <v>0.382439</v>
      </c>
      <c r="N34" s="58">
        <f t="shared" si="2"/>
        <v>3.0595120000000007</v>
      </c>
      <c r="O34" s="58">
        <f t="shared" si="5"/>
        <v>0.4280173465753425</v>
      </c>
      <c r="P34" s="58"/>
      <c r="Q34" s="244">
        <v>0.4280173465753425</v>
      </c>
      <c r="R34" s="79"/>
      <c r="S34" s="156">
        <v>0.382439</v>
      </c>
      <c r="T34" s="58">
        <f t="shared" si="3"/>
        <v>2.677073000000001</v>
      </c>
      <c r="U34" s="156">
        <v>0.38021247157534244</v>
      </c>
      <c r="V34" s="79"/>
      <c r="W34" s="156">
        <v>0.38021247157534244</v>
      </c>
    </row>
    <row r="35" spans="1:23" ht="15" customHeight="1" hidden="1">
      <c r="A35" s="229"/>
      <c r="B35" s="79" t="s">
        <v>686</v>
      </c>
      <c r="C35" s="431">
        <v>0.125</v>
      </c>
      <c r="D35" s="58">
        <v>2.55398</v>
      </c>
      <c r="E35" s="72"/>
      <c r="F35" s="58"/>
      <c r="G35" s="58">
        <v>0.255398</v>
      </c>
      <c r="H35" s="58">
        <f t="shared" si="4"/>
        <v>2.298582</v>
      </c>
      <c r="I35" s="58"/>
      <c r="J35" s="58"/>
      <c r="K35" s="58"/>
      <c r="L35" s="58"/>
      <c r="M35" s="58">
        <v>0.255398</v>
      </c>
      <c r="N35" s="58">
        <f t="shared" si="2"/>
        <v>2.043184</v>
      </c>
      <c r="O35" s="58">
        <f t="shared" si="5"/>
        <v>0.2774601888767123</v>
      </c>
      <c r="P35" s="58"/>
      <c r="Q35" s="244">
        <v>0.2774601888767123</v>
      </c>
      <c r="R35" s="79"/>
      <c r="S35" s="156">
        <v>0.255398</v>
      </c>
      <c r="T35" s="58">
        <f t="shared" si="3"/>
        <v>1.787786</v>
      </c>
      <c r="U35" s="156">
        <v>0.25391109383561644</v>
      </c>
      <c r="V35" s="79"/>
      <c r="W35" s="156">
        <v>0.25391109383561644</v>
      </c>
    </row>
    <row r="36" spans="1:23" ht="15" customHeight="1" hidden="1">
      <c r="A36" s="229"/>
      <c r="B36" s="79" t="s">
        <v>687</v>
      </c>
      <c r="C36" s="431">
        <v>0.11</v>
      </c>
      <c r="D36" s="58">
        <v>1.6183792</v>
      </c>
      <c r="E36" s="72"/>
      <c r="F36" s="58"/>
      <c r="G36" s="58">
        <v>0.1618379</v>
      </c>
      <c r="H36" s="58">
        <f t="shared" si="4"/>
        <v>1.4565412999999998</v>
      </c>
      <c r="I36" s="58"/>
      <c r="J36" s="58"/>
      <c r="K36" s="58"/>
      <c r="L36" s="58"/>
      <c r="M36" s="58">
        <v>0.1618379</v>
      </c>
      <c r="N36" s="58">
        <f t="shared" si="2"/>
        <v>1.2947033999999997</v>
      </c>
      <c r="O36" s="58">
        <f t="shared" si="5"/>
        <v>0.15939040088219178</v>
      </c>
      <c r="P36" s="58"/>
      <c r="Q36" s="244">
        <v>0.15939040088219178</v>
      </c>
      <c r="R36" s="79"/>
      <c r="S36" s="156">
        <v>0.1618379</v>
      </c>
      <c r="T36" s="58">
        <f t="shared" si="3"/>
        <v>1.1328654999999996</v>
      </c>
      <c r="U36" s="156">
        <v>0.14158823188219177</v>
      </c>
      <c r="V36" s="79"/>
      <c r="W36" s="156">
        <v>0.14158823188219177</v>
      </c>
    </row>
    <row r="37" spans="1:23" ht="15" customHeight="1" hidden="1">
      <c r="A37" s="229"/>
      <c r="B37" s="79" t="s">
        <v>688</v>
      </c>
      <c r="C37" s="431">
        <v>0.115</v>
      </c>
      <c r="D37" s="58">
        <v>29.62</v>
      </c>
      <c r="E37" s="72"/>
      <c r="F37" s="58"/>
      <c r="G37" s="58">
        <v>2.962</v>
      </c>
      <c r="H37" s="58">
        <f t="shared" si="4"/>
        <v>26.658</v>
      </c>
      <c r="I37" s="58"/>
      <c r="J37" s="58"/>
      <c r="K37" s="58"/>
      <c r="L37" s="58"/>
      <c r="M37" s="58">
        <v>2.962</v>
      </c>
      <c r="N37" s="58">
        <f t="shared" si="2"/>
        <v>23.696</v>
      </c>
      <c r="O37" s="58">
        <f t="shared" si="5"/>
        <v>3.0498050410958903</v>
      </c>
      <c r="P37" s="58"/>
      <c r="Q37" s="244">
        <v>3.0498050410958903</v>
      </c>
      <c r="R37" s="79"/>
      <c r="S37" s="156">
        <v>2.962</v>
      </c>
      <c r="T37" s="58">
        <f t="shared" si="3"/>
        <v>20.734</v>
      </c>
      <c r="U37" s="156">
        <v>2.7091750410958904</v>
      </c>
      <c r="V37" s="79"/>
      <c r="W37" s="156">
        <v>2.7091750410958904</v>
      </c>
    </row>
    <row r="38" spans="1:23" ht="15" customHeight="1" hidden="1">
      <c r="A38" s="229"/>
      <c r="B38" s="79" t="s">
        <v>689</v>
      </c>
      <c r="C38" s="431">
        <v>0.125</v>
      </c>
      <c r="D38" s="58">
        <v>17.03731</v>
      </c>
      <c r="E38" s="72"/>
      <c r="F38" s="58"/>
      <c r="G38" s="58">
        <v>1.703731</v>
      </c>
      <c r="H38" s="58">
        <f t="shared" si="4"/>
        <v>15.333579000000002</v>
      </c>
      <c r="I38" s="58"/>
      <c r="J38" s="58"/>
      <c r="K38" s="58"/>
      <c r="L38" s="58"/>
      <c r="M38" s="58">
        <v>1.703731</v>
      </c>
      <c r="N38" s="58">
        <f t="shared" si="2"/>
        <v>13.629848000000003</v>
      </c>
      <c r="O38" s="58">
        <f t="shared" si="5"/>
        <v>1.8509053518630139</v>
      </c>
      <c r="P38" s="58"/>
      <c r="Q38" s="244">
        <v>1.8509053518630139</v>
      </c>
      <c r="R38" s="79"/>
      <c r="S38" s="156">
        <v>1.703731</v>
      </c>
      <c r="T38" s="58">
        <f t="shared" si="3"/>
        <v>11.926117000000003</v>
      </c>
      <c r="U38" s="156">
        <v>1.693812018150685</v>
      </c>
      <c r="V38" s="79"/>
      <c r="W38" s="156">
        <v>1.693812018150685</v>
      </c>
    </row>
    <row r="39" spans="1:23" ht="15" customHeight="1" hidden="1">
      <c r="A39" s="229"/>
      <c r="B39" s="79" t="s">
        <v>690</v>
      </c>
      <c r="C39" s="431">
        <v>0.1225</v>
      </c>
      <c r="D39" s="58">
        <v>6.0715</v>
      </c>
      <c r="E39" s="72"/>
      <c r="F39" s="58"/>
      <c r="G39" s="58">
        <v>0</v>
      </c>
      <c r="H39" s="58">
        <f t="shared" si="4"/>
        <v>6.0715</v>
      </c>
      <c r="I39" s="58"/>
      <c r="J39" s="58"/>
      <c r="K39" s="58"/>
      <c r="L39" s="58"/>
      <c r="M39" s="58">
        <v>0.60715</v>
      </c>
      <c r="N39" s="58">
        <f t="shared" si="2"/>
        <v>5.4643500000000005</v>
      </c>
      <c r="O39" s="58">
        <f t="shared" si="5"/>
        <v>0.6970955297945205</v>
      </c>
      <c r="P39" s="58"/>
      <c r="Q39" s="244">
        <v>0.6970955297945205</v>
      </c>
      <c r="R39" s="79"/>
      <c r="S39" s="156">
        <v>0.60715</v>
      </c>
      <c r="T39" s="58">
        <f t="shared" si="3"/>
        <v>4.857200000000001</v>
      </c>
      <c r="U39" s="156">
        <v>0.6227196547945205</v>
      </c>
      <c r="V39" s="79"/>
      <c r="W39" s="156">
        <v>0.6227196547945205</v>
      </c>
    </row>
    <row r="40" spans="1:23" ht="15" customHeight="1" hidden="1">
      <c r="A40" s="229"/>
      <c r="B40" s="79" t="s">
        <v>691</v>
      </c>
      <c r="C40" s="431">
        <v>0.125</v>
      </c>
      <c r="D40" s="58">
        <v>4.0206</v>
      </c>
      <c r="E40" s="72"/>
      <c r="F40" s="58"/>
      <c r="G40" s="58">
        <v>0</v>
      </c>
      <c r="H40" s="58">
        <f t="shared" si="4"/>
        <v>4.0206</v>
      </c>
      <c r="I40" s="58"/>
      <c r="J40" s="58"/>
      <c r="K40" s="58"/>
      <c r="L40" s="58"/>
      <c r="M40" s="58">
        <v>0.40206</v>
      </c>
      <c r="N40" s="58">
        <f t="shared" si="2"/>
        <v>3.61854</v>
      </c>
      <c r="O40" s="58">
        <f t="shared" si="5"/>
        <v>0.4710435821917809</v>
      </c>
      <c r="P40" s="58"/>
      <c r="Q40" s="244">
        <v>0.4710435821917809</v>
      </c>
      <c r="R40" s="79"/>
      <c r="S40" s="156">
        <v>0.40206</v>
      </c>
      <c r="T40" s="58">
        <f t="shared" si="3"/>
        <v>3.21648</v>
      </c>
      <c r="U40" s="156">
        <v>0.4207860821917809</v>
      </c>
      <c r="V40" s="79"/>
      <c r="W40" s="156">
        <v>0.4207860821917809</v>
      </c>
    </row>
    <row r="41" spans="1:23" ht="15" customHeight="1" hidden="1">
      <c r="A41" s="229"/>
      <c r="B41" s="79" t="s">
        <v>692</v>
      </c>
      <c r="C41" s="431">
        <v>0.125</v>
      </c>
      <c r="D41" s="58">
        <v>0.68335</v>
      </c>
      <c r="E41" s="72"/>
      <c r="F41" s="58"/>
      <c r="G41" s="58">
        <v>0</v>
      </c>
      <c r="H41" s="58">
        <f t="shared" si="4"/>
        <v>0.68335</v>
      </c>
      <c r="I41" s="58"/>
      <c r="J41" s="58"/>
      <c r="K41" s="58"/>
      <c r="L41" s="58"/>
      <c r="M41" s="58">
        <v>0.068335</v>
      </c>
      <c r="N41" s="58">
        <f t="shared" si="2"/>
        <v>0.615015</v>
      </c>
      <c r="O41" s="58">
        <f t="shared" si="5"/>
        <v>0.07365483294520549</v>
      </c>
      <c r="P41" s="58"/>
      <c r="Q41" s="244">
        <v>0.07365483294520549</v>
      </c>
      <c r="R41" s="79"/>
      <c r="S41" s="156">
        <v>0.068335</v>
      </c>
      <c r="T41" s="58">
        <f t="shared" si="3"/>
        <v>0.5466799999999999</v>
      </c>
      <c r="U41" s="156">
        <v>0.07151772602739727</v>
      </c>
      <c r="V41" s="79"/>
      <c r="W41" s="156">
        <v>0.07151772602739727</v>
      </c>
    </row>
    <row r="42" spans="1:23" ht="15" customHeight="1" hidden="1">
      <c r="A42" s="229"/>
      <c r="B42" s="79" t="s">
        <v>693</v>
      </c>
      <c r="C42" s="431">
        <v>0.11</v>
      </c>
      <c r="D42" s="58">
        <v>0.6731178</v>
      </c>
      <c r="E42" s="72"/>
      <c r="F42" s="58"/>
      <c r="G42" s="58">
        <v>0</v>
      </c>
      <c r="H42" s="58">
        <f t="shared" si="4"/>
        <v>0.6731178</v>
      </c>
      <c r="I42" s="58"/>
      <c r="J42" s="58"/>
      <c r="K42" s="58"/>
      <c r="L42" s="58"/>
      <c r="M42" s="58">
        <v>0.06731178</v>
      </c>
      <c r="N42" s="58">
        <f t="shared" si="2"/>
        <v>0.60580602</v>
      </c>
      <c r="O42" s="58">
        <f t="shared" si="5"/>
        <v>0.06939752310082192</v>
      </c>
      <c r="P42" s="58"/>
      <c r="Q42" s="244">
        <v>0.06939752310082192</v>
      </c>
      <c r="R42" s="79"/>
      <c r="S42" s="156">
        <v>0.06731178</v>
      </c>
      <c r="T42" s="58">
        <f t="shared" si="3"/>
        <v>0.5384942399999999</v>
      </c>
      <c r="U42" s="156">
        <v>0.06199322730082192</v>
      </c>
      <c r="V42" s="79"/>
      <c r="W42" s="156">
        <v>0.06199322730082192</v>
      </c>
    </row>
    <row r="43" spans="1:23" ht="15" customHeight="1" hidden="1">
      <c r="A43" s="229"/>
      <c r="B43" s="79" t="s">
        <v>694</v>
      </c>
      <c r="C43" s="431">
        <v>0.125</v>
      </c>
      <c r="D43" s="58">
        <v>0</v>
      </c>
      <c r="E43" s="72"/>
      <c r="F43" s="58">
        <v>5.75862</v>
      </c>
      <c r="G43" s="58">
        <v>0</v>
      </c>
      <c r="H43" s="58">
        <f t="shared" si="4"/>
        <v>5.75862</v>
      </c>
      <c r="I43" s="58"/>
      <c r="J43" s="58"/>
      <c r="K43" s="58"/>
      <c r="L43" s="58"/>
      <c r="M43" s="58">
        <v>0.575862</v>
      </c>
      <c r="N43" s="58">
        <f t="shared" si="2"/>
        <v>5.182758</v>
      </c>
      <c r="O43" s="58">
        <f t="shared" si="5"/>
        <v>0.6746657198630137</v>
      </c>
      <c r="P43" s="58"/>
      <c r="Q43" s="244">
        <v>0.6746657198630137</v>
      </c>
      <c r="R43" s="79"/>
      <c r="S43" s="156">
        <v>0.575862</v>
      </c>
      <c r="T43" s="58">
        <f t="shared" si="3"/>
        <v>4.606896</v>
      </c>
      <c r="U43" s="156">
        <v>0.6026829698630137</v>
      </c>
      <c r="V43" s="79"/>
      <c r="W43" s="156">
        <v>0.6026829698630137</v>
      </c>
    </row>
    <row r="44" spans="1:23" ht="15" customHeight="1" hidden="1">
      <c r="A44" s="229"/>
      <c r="B44" s="79" t="s">
        <v>695</v>
      </c>
      <c r="C44" s="431">
        <v>0.11</v>
      </c>
      <c r="D44" s="58">
        <v>2.9488066</v>
      </c>
      <c r="E44" s="72"/>
      <c r="F44" s="58"/>
      <c r="G44" s="58">
        <v>0</v>
      </c>
      <c r="H44" s="58">
        <f t="shared" si="4"/>
        <v>2.9488066</v>
      </c>
      <c r="I44" s="58"/>
      <c r="J44" s="58"/>
      <c r="K44" s="58"/>
      <c r="L44" s="58"/>
      <c r="M44" s="58"/>
      <c r="N44" s="58">
        <f t="shared" si="2"/>
        <v>2.9488066</v>
      </c>
      <c r="O44" s="58">
        <f t="shared" si="5"/>
        <v>0.32436872600000005</v>
      </c>
      <c r="P44" s="58"/>
      <c r="Q44" s="244">
        <v>0.32436872600000005</v>
      </c>
      <c r="R44" s="79"/>
      <c r="S44" s="156">
        <v>0.2457339</v>
      </c>
      <c r="T44" s="58">
        <f t="shared" si="3"/>
        <v>2.7030727000000003</v>
      </c>
      <c r="U44" s="156">
        <v>0.32310976053972607</v>
      </c>
      <c r="V44" s="79"/>
      <c r="W44" s="156">
        <v>0.32310976053972607</v>
      </c>
    </row>
    <row r="45" spans="1:23" ht="15" customHeight="1" hidden="1">
      <c r="A45" s="229"/>
      <c r="B45" s="79" t="s">
        <v>696</v>
      </c>
      <c r="C45" s="431">
        <v>0.125</v>
      </c>
      <c r="D45" s="58">
        <v>0</v>
      </c>
      <c r="E45" s="72"/>
      <c r="F45" s="58">
        <v>2.8374072</v>
      </c>
      <c r="G45" s="58">
        <v>0</v>
      </c>
      <c r="H45" s="58">
        <f t="shared" si="4"/>
        <v>2.8374072</v>
      </c>
      <c r="I45" s="58"/>
      <c r="J45" s="58"/>
      <c r="K45" s="58"/>
      <c r="L45" s="58"/>
      <c r="M45" s="58">
        <v>0</v>
      </c>
      <c r="N45" s="58">
        <f t="shared" si="2"/>
        <v>2.8374072</v>
      </c>
      <c r="O45" s="58">
        <f t="shared" si="5"/>
        <v>0.3546759</v>
      </c>
      <c r="P45" s="58"/>
      <c r="Q45" s="244">
        <v>0.3546759</v>
      </c>
      <c r="R45" s="79"/>
      <c r="S45" s="156">
        <v>0</v>
      </c>
      <c r="T45" s="58">
        <f t="shared" si="3"/>
        <v>2.8374072</v>
      </c>
      <c r="U45" s="156">
        <v>0.3546759</v>
      </c>
      <c r="V45" s="79"/>
      <c r="W45" s="156">
        <v>0.3546759</v>
      </c>
    </row>
    <row r="46" spans="1:23" ht="15" customHeight="1" hidden="1">
      <c r="A46" s="229"/>
      <c r="B46" s="79" t="s">
        <v>697</v>
      </c>
      <c r="C46" s="431">
        <v>0.11</v>
      </c>
      <c r="D46" s="58">
        <v>3.8158707</v>
      </c>
      <c r="E46" s="72"/>
      <c r="F46" s="58">
        <v>0</v>
      </c>
      <c r="G46" s="58">
        <v>0</v>
      </c>
      <c r="H46" s="58">
        <f t="shared" si="4"/>
        <v>3.8158707</v>
      </c>
      <c r="I46" s="58"/>
      <c r="J46" s="58"/>
      <c r="K46" s="58"/>
      <c r="L46" s="58"/>
      <c r="M46" s="58">
        <v>0</v>
      </c>
      <c r="N46" s="58">
        <f t="shared" si="2"/>
        <v>3.8158707</v>
      </c>
      <c r="O46" s="58">
        <f t="shared" si="5"/>
        <v>0.41974577700000004</v>
      </c>
      <c r="P46" s="58"/>
      <c r="Q46" s="244">
        <v>0.41974577700000004</v>
      </c>
      <c r="R46" s="79"/>
      <c r="S46" s="156">
        <v>0.3179892</v>
      </c>
      <c r="T46" s="58">
        <f t="shared" si="3"/>
        <v>3.4978815</v>
      </c>
      <c r="U46" s="156">
        <v>0.41811662685205486</v>
      </c>
      <c r="V46" s="79"/>
      <c r="W46" s="156">
        <v>0.41811662685205486</v>
      </c>
    </row>
    <row r="47" spans="1:23" ht="15" customHeight="1" hidden="1">
      <c r="A47" s="229"/>
      <c r="B47" s="79" t="s">
        <v>698</v>
      </c>
      <c r="C47" s="431">
        <v>0.125</v>
      </c>
      <c r="D47" s="58">
        <v>0</v>
      </c>
      <c r="E47" s="72"/>
      <c r="F47" s="58">
        <v>5.0466963</v>
      </c>
      <c r="G47" s="58">
        <v>0</v>
      </c>
      <c r="H47" s="58">
        <f t="shared" si="4"/>
        <v>5.0466963</v>
      </c>
      <c r="I47" s="58"/>
      <c r="J47" s="58"/>
      <c r="K47" s="58"/>
      <c r="L47" s="58"/>
      <c r="M47" s="58">
        <v>0</v>
      </c>
      <c r="N47" s="58">
        <f t="shared" si="2"/>
        <v>5.0466963</v>
      </c>
      <c r="O47" s="58">
        <f t="shared" si="5"/>
        <v>0.6308370375</v>
      </c>
      <c r="P47" s="58"/>
      <c r="Q47" s="244">
        <v>0.6308370375</v>
      </c>
      <c r="R47" s="79"/>
      <c r="S47" s="156">
        <v>0</v>
      </c>
      <c r="T47" s="58">
        <f t="shared" si="3"/>
        <v>5.0466963</v>
      </c>
      <c r="U47" s="156">
        <v>0.6308370375</v>
      </c>
      <c r="V47" s="79"/>
      <c r="W47" s="156">
        <v>0.6308370375</v>
      </c>
    </row>
    <row r="48" spans="1:23" ht="15" customHeight="1" hidden="1">
      <c r="A48" s="229"/>
      <c r="B48" s="79" t="s">
        <v>699</v>
      </c>
      <c r="C48" s="431">
        <v>0.11</v>
      </c>
      <c r="D48" s="58">
        <v>2.2983732</v>
      </c>
      <c r="E48" s="72"/>
      <c r="F48" s="58">
        <v>0</v>
      </c>
      <c r="G48" s="58">
        <v>0</v>
      </c>
      <c r="H48" s="58">
        <f t="shared" si="4"/>
        <v>2.2983732</v>
      </c>
      <c r="I48" s="58"/>
      <c r="J48" s="58"/>
      <c r="K48" s="58"/>
      <c r="L48" s="58"/>
      <c r="M48" s="58">
        <v>0</v>
      </c>
      <c r="N48" s="58">
        <f t="shared" si="2"/>
        <v>2.2983732</v>
      </c>
      <c r="O48" s="58">
        <f t="shared" si="5"/>
        <v>0.252821052</v>
      </c>
      <c r="P48" s="58"/>
      <c r="Q48" s="244">
        <v>0.252821052</v>
      </c>
      <c r="R48" s="79"/>
      <c r="S48" s="156">
        <v>0.1915311</v>
      </c>
      <c r="T48" s="58">
        <f t="shared" si="3"/>
        <v>2.1068420999999997</v>
      </c>
      <c r="U48" s="156">
        <v>0.25183978307671234</v>
      </c>
      <c r="V48" s="79"/>
      <c r="W48" s="156">
        <v>0.25183978307671234</v>
      </c>
    </row>
    <row r="49" spans="1:23" ht="15" customHeight="1" hidden="1">
      <c r="A49" s="229"/>
      <c r="B49" s="79" t="s">
        <v>700</v>
      </c>
      <c r="C49" s="431">
        <v>0.125</v>
      </c>
      <c r="D49" s="58">
        <v>0</v>
      </c>
      <c r="E49" s="72"/>
      <c r="F49" s="58">
        <v>4.1894859</v>
      </c>
      <c r="G49" s="58">
        <v>0</v>
      </c>
      <c r="H49" s="58">
        <f t="shared" si="4"/>
        <v>4.1894859</v>
      </c>
      <c r="I49" s="58"/>
      <c r="J49" s="58"/>
      <c r="K49" s="58"/>
      <c r="L49" s="58"/>
      <c r="M49" s="58">
        <v>0</v>
      </c>
      <c r="N49" s="58">
        <f t="shared" si="2"/>
        <v>4.1894859</v>
      </c>
      <c r="O49" s="58">
        <f t="shared" si="5"/>
        <v>0.5236857375</v>
      </c>
      <c r="P49" s="58"/>
      <c r="Q49" s="244">
        <v>0.5236857375</v>
      </c>
      <c r="R49" s="79"/>
      <c r="S49" s="156">
        <v>0</v>
      </c>
      <c r="T49" s="58">
        <f t="shared" si="3"/>
        <v>4.1894859</v>
      </c>
      <c r="U49" s="156">
        <v>0.5236857375</v>
      </c>
      <c r="V49" s="79"/>
      <c r="W49" s="156">
        <v>0.5236857375</v>
      </c>
    </row>
    <row r="50" spans="1:23" ht="15" customHeight="1" hidden="1">
      <c r="A50" s="229"/>
      <c r="B50" s="79" t="s">
        <v>701</v>
      </c>
      <c r="C50" s="431">
        <v>0.11</v>
      </c>
      <c r="D50" s="58">
        <v>3.2873695</v>
      </c>
      <c r="E50" s="72"/>
      <c r="F50" s="58">
        <v>0</v>
      </c>
      <c r="G50" s="58">
        <v>0</v>
      </c>
      <c r="H50" s="58">
        <f t="shared" si="4"/>
        <v>3.2873695</v>
      </c>
      <c r="I50" s="58"/>
      <c r="J50" s="58"/>
      <c r="K50" s="58"/>
      <c r="L50" s="58"/>
      <c r="M50" s="58">
        <v>0</v>
      </c>
      <c r="N50" s="58">
        <f t="shared" si="2"/>
        <v>3.2873695</v>
      </c>
      <c r="O50" s="58">
        <f t="shared" si="5"/>
        <v>0.361610645</v>
      </c>
      <c r="P50" s="58"/>
      <c r="Q50" s="244">
        <v>0.361610645</v>
      </c>
      <c r="R50" s="79"/>
      <c r="S50" s="156">
        <v>0.2739475</v>
      </c>
      <c r="T50" s="58">
        <f t="shared" si="3"/>
        <v>3.0134220000000003</v>
      </c>
      <c r="U50" s="156">
        <v>0.360207133150685</v>
      </c>
      <c r="V50" s="79"/>
      <c r="W50" s="156">
        <v>0.360207133150685</v>
      </c>
    </row>
    <row r="51" spans="1:23" ht="15" customHeight="1" hidden="1">
      <c r="A51" s="229"/>
      <c r="B51" s="79" t="s">
        <v>702</v>
      </c>
      <c r="C51" s="431">
        <v>0.125</v>
      </c>
      <c r="D51" s="58">
        <v>0</v>
      </c>
      <c r="E51" s="72"/>
      <c r="F51" s="58">
        <v>3.8820415</v>
      </c>
      <c r="G51" s="58">
        <v>0</v>
      </c>
      <c r="H51" s="58">
        <f t="shared" si="4"/>
        <v>3.8820415</v>
      </c>
      <c r="I51" s="58"/>
      <c r="J51" s="58"/>
      <c r="K51" s="58"/>
      <c r="L51" s="58"/>
      <c r="M51" s="58">
        <v>0</v>
      </c>
      <c r="N51" s="58">
        <f t="shared" si="2"/>
        <v>3.8820415</v>
      </c>
      <c r="O51" s="58">
        <f t="shared" si="5"/>
        <v>0.4852551875</v>
      </c>
      <c r="P51" s="58"/>
      <c r="Q51" s="244">
        <v>0.4852551875</v>
      </c>
      <c r="R51" s="79"/>
      <c r="S51" s="156">
        <v>0</v>
      </c>
      <c r="T51" s="58">
        <f t="shared" si="3"/>
        <v>3.8820415</v>
      </c>
      <c r="U51" s="156">
        <v>0.4852551875</v>
      </c>
      <c r="V51" s="79"/>
      <c r="W51" s="156">
        <v>0.4852551875</v>
      </c>
    </row>
    <row r="52" spans="1:23" ht="15" customHeight="1" hidden="1">
      <c r="A52" s="229"/>
      <c r="B52" s="79" t="s">
        <v>703</v>
      </c>
      <c r="C52" s="431">
        <v>0.11</v>
      </c>
      <c r="D52" s="58">
        <v>2.7393195</v>
      </c>
      <c r="E52" s="72"/>
      <c r="F52" s="58">
        <v>0</v>
      </c>
      <c r="G52" s="58">
        <v>0</v>
      </c>
      <c r="H52" s="58">
        <f t="shared" si="4"/>
        <v>2.7393195</v>
      </c>
      <c r="I52" s="58"/>
      <c r="J52" s="58"/>
      <c r="K52" s="58"/>
      <c r="L52" s="58"/>
      <c r="M52" s="58">
        <v>0</v>
      </c>
      <c r="N52" s="58">
        <f t="shared" si="2"/>
        <v>2.7393195</v>
      </c>
      <c r="O52" s="58">
        <f t="shared" si="5"/>
        <v>0.301325145</v>
      </c>
      <c r="P52" s="58"/>
      <c r="Q52" s="244">
        <v>0.301325145</v>
      </c>
      <c r="R52" s="79"/>
      <c r="S52" s="156">
        <v>0.2282766</v>
      </c>
      <c r="T52" s="58">
        <f t="shared" si="3"/>
        <v>2.5110429</v>
      </c>
      <c r="U52" s="156">
        <v>0.30015561830958903</v>
      </c>
      <c r="V52" s="79"/>
      <c r="W52" s="156">
        <v>0.30015561830958903</v>
      </c>
    </row>
    <row r="53" spans="1:23" ht="15" customHeight="1" hidden="1">
      <c r="A53" s="229"/>
      <c r="B53" s="79" t="s">
        <v>704</v>
      </c>
      <c r="C53" s="431">
        <v>0.125</v>
      </c>
      <c r="D53" s="58">
        <v>0</v>
      </c>
      <c r="E53" s="72"/>
      <c r="F53" s="58">
        <v>3.5733347</v>
      </c>
      <c r="G53" s="58">
        <v>0</v>
      </c>
      <c r="H53" s="58">
        <f t="shared" si="4"/>
        <v>3.5733347</v>
      </c>
      <c r="I53" s="58"/>
      <c r="J53" s="58"/>
      <c r="K53" s="58"/>
      <c r="L53" s="58"/>
      <c r="M53" s="58">
        <v>0</v>
      </c>
      <c r="N53" s="58">
        <f t="shared" si="2"/>
        <v>3.5733347</v>
      </c>
      <c r="O53" s="58">
        <f t="shared" si="5"/>
        <v>0.4466668375</v>
      </c>
      <c r="P53" s="58"/>
      <c r="Q53" s="244">
        <v>0.4466668375</v>
      </c>
      <c r="R53" s="79"/>
      <c r="S53" s="156">
        <v>0</v>
      </c>
      <c r="T53" s="58">
        <f t="shared" si="3"/>
        <v>3.5733347</v>
      </c>
      <c r="U53" s="156">
        <v>0.4466668375</v>
      </c>
      <c r="V53" s="79"/>
      <c r="W53" s="156">
        <v>0.4466668375</v>
      </c>
    </row>
    <row r="54" spans="1:23" ht="15" customHeight="1" hidden="1">
      <c r="A54" s="229"/>
      <c r="B54" s="79" t="s">
        <v>705</v>
      </c>
      <c r="C54" s="431">
        <v>0.11</v>
      </c>
      <c r="D54" s="58">
        <v>2.9899155</v>
      </c>
      <c r="E54" s="72"/>
      <c r="F54" s="58">
        <v>0</v>
      </c>
      <c r="G54" s="58">
        <v>0</v>
      </c>
      <c r="H54" s="58">
        <f t="shared" si="4"/>
        <v>2.9899155</v>
      </c>
      <c r="I54" s="58"/>
      <c r="J54" s="58"/>
      <c r="K54" s="58"/>
      <c r="L54" s="58"/>
      <c r="M54" s="58">
        <v>0</v>
      </c>
      <c r="N54" s="58">
        <f t="shared" si="2"/>
        <v>2.9899155</v>
      </c>
      <c r="O54" s="58">
        <f t="shared" si="5"/>
        <v>0.328890705</v>
      </c>
      <c r="P54" s="58"/>
      <c r="Q54" s="244">
        <v>0.328890705</v>
      </c>
      <c r="R54" s="79"/>
      <c r="S54" s="156">
        <v>0.2491596</v>
      </c>
      <c r="T54" s="58">
        <f t="shared" si="3"/>
        <v>2.7407559</v>
      </c>
      <c r="U54" s="156">
        <v>0.3276141886931506</v>
      </c>
      <c r="V54" s="79"/>
      <c r="W54" s="156">
        <v>0.3276141886931506</v>
      </c>
    </row>
    <row r="55" spans="1:23" ht="15" customHeight="1" hidden="1">
      <c r="A55" s="229"/>
      <c r="B55" s="79" t="s">
        <v>706</v>
      </c>
      <c r="C55" s="431">
        <v>0.125</v>
      </c>
      <c r="D55" s="58">
        <v>0</v>
      </c>
      <c r="E55" s="72"/>
      <c r="F55" s="58">
        <v>3.2734413</v>
      </c>
      <c r="G55" s="58">
        <v>0</v>
      </c>
      <c r="H55" s="58">
        <f t="shared" si="4"/>
        <v>3.2734413</v>
      </c>
      <c r="I55" s="58"/>
      <c r="J55" s="58"/>
      <c r="K55" s="58"/>
      <c r="L55" s="58"/>
      <c r="M55" s="58">
        <v>0</v>
      </c>
      <c r="N55" s="58">
        <f t="shared" si="2"/>
        <v>3.2734413</v>
      </c>
      <c r="O55" s="58">
        <f t="shared" si="5"/>
        <v>0.4091801625</v>
      </c>
      <c r="P55" s="58"/>
      <c r="Q55" s="244">
        <v>0.4091801625</v>
      </c>
      <c r="R55" s="79"/>
      <c r="S55" s="156">
        <v>0</v>
      </c>
      <c r="T55" s="58">
        <f t="shared" si="3"/>
        <v>3.2734413</v>
      </c>
      <c r="U55" s="156">
        <v>0.4091801625</v>
      </c>
      <c r="V55" s="79"/>
      <c r="W55" s="156">
        <v>0.4091801625</v>
      </c>
    </row>
    <row r="56" spans="1:23" ht="15" customHeight="1" hidden="1">
      <c r="A56" s="229"/>
      <c r="B56" s="79" t="s">
        <v>707</v>
      </c>
      <c r="C56" s="431">
        <v>0.125</v>
      </c>
      <c r="D56" s="58">
        <v>0</v>
      </c>
      <c r="E56" s="72"/>
      <c r="F56" s="58">
        <v>22.2580377</v>
      </c>
      <c r="G56" s="58">
        <v>0</v>
      </c>
      <c r="H56" s="58">
        <f t="shared" si="4"/>
        <v>22.2580377</v>
      </c>
      <c r="I56" s="58"/>
      <c r="J56" s="58"/>
      <c r="K56" s="58"/>
      <c r="L56" s="58"/>
      <c r="M56" s="58">
        <v>0</v>
      </c>
      <c r="N56" s="58">
        <f t="shared" si="2"/>
        <v>22.2580377</v>
      </c>
      <c r="O56" s="58">
        <f t="shared" si="5"/>
        <v>2.7822547125</v>
      </c>
      <c r="P56" s="58"/>
      <c r="Q56" s="244">
        <v>2.7822547125</v>
      </c>
      <c r="R56" s="79"/>
      <c r="S56" s="156">
        <v>0</v>
      </c>
      <c r="T56" s="58">
        <f t="shared" si="3"/>
        <v>22.2580377</v>
      </c>
      <c r="U56" s="156">
        <v>2.7822547125</v>
      </c>
      <c r="V56" s="79"/>
      <c r="W56" s="156">
        <v>2.7822547125</v>
      </c>
    </row>
    <row r="57" spans="1:23" ht="15" customHeight="1" hidden="1">
      <c r="A57" s="229"/>
      <c r="B57" s="79" t="s">
        <v>708</v>
      </c>
      <c r="C57" s="431">
        <v>0.125</v>
      </c>
      <c r="D57" s="58">
        <v>0</v>
      </c>
      <c r="E57" s="72"/>
      <c r="F57" s="58">
        <v>1.4048575</v>
      </c>
      <c r="G57" s="58">
        <v>0.1404855</v>
      </c>
      <c r="H57" s="58">
        <f t="shared" si="4"/>
        <v>1.264372</v>
      </c>
      <c r="I57" s="58"/>
      <c r="J57" s="58"/>
      <c r="K57" s="58"/>
      <c r="L57" s="58"/>
      <c r="M57" s="58">
        <v>0</v>
      </c>
      <c r="N57" s="58">
        <f t="shared" si="2"/>
        <v>1.264372</v>
      </c>
      <c r="O57" s="58">
        <f t="shared" si="5"/>
        <v>0.1580465</v>
      </c>
      <c r="P57" s="58"/>
      <c r="Q57" s="244">
        <v>0.1580465</v>
      </c>
      <c r="R57" s="79"/>
      <c r="S57" s="156">
        <v>0</v>
      </c>
      <c r="T57" s="58">
        <f t="shared" si="3"/>
        <v>1.264372</v>
      </c>
      <c r="U57" s="156">
        <v>0.1580465</v>
      </c>
      <c r="V57" s="79"/>
      <c r="W57" s="156">
        <v>0.1580465</v>
      </c>
    </row>
    <row r="58" spans="1:23" ht="15" customHeight="1" hidden="1">
      <c r="A58" s="229"/>
      <c r="B58" s="79" t="s">
        <v>708</v>
      </c>
      <c r="C58" s="431">
        <v>0.125</v>
      </c>
      <c r="D58" s="58">
        <v>0</v>
      </c>
      <c r="E58" s="72"/>
      <c r="F58" s="58">
        <v>2.1820109</v>
      </c>
      <c r="G58" s="58">
        <v>0.218201</v>
      </c>
      <c r="H58" s="58">
        <f t="shared" si="4"/>
        <v>1.9638098999999998</v>
      </c>
      <c r="I58" s="58"/>
      <c r="J58" s="58"/>
      <c r="K58" s="58"/>
      <c r="L58" s="58"/>
      <c r="M58" s="58">
        <v>0</v>
      </c>
      <c r="N58" s="58">
        <f t="shared" si="2"/>
        <v>1.9638098999999998</v>
      </c>
      <c r="O58" s="58">
        <f t="shared" si="5"/>
        <v>0.2454762375</v>
      </c>
      <c r="P58" s="58"/>
      <c r="Q58" s="244">
        <v>0.2454762375</v>
      </c>
      <c r="R58" s="79"/>
      <c r="S58" s="156">
        <v>0</v>
      </c>
      <c r="T58" s="58">
        <f t="shared" si="3"/>
        <v>1.9638098999999998</v>
      </c>
      <c r="U58" s="156">
        <v>0.2454762375</v>
      </c>
      <c r="V58" s="79"/>
      <c r="W58" s="156">
        <v>0.2454762375</v>
      </c>
    </row>
    <row r="59" spans="1:23" ht="15" customHeight="1" hidden="1">
      <c r="A59" s="229"/>
      <c r="B59" s="79" t="s">
        <v>683</v>
      </c>
      <c r="C59" s="431">
        <v>0.125</v>
      </c>
      <c r="D59" s="58">
        <v>0</v>
      </c>
      <c r="E59" s="72"/>
      <c r="F59" s="58">
        <v>2.7894801</v>
      </c>
      <c r="G59" s="58">
        <v>0.278948</v>
      </c>
      <c r="H59" s="58">
        <f t="shared" si="4"/>
        <v>2.5105321</v>
      </c>
      <c r="I59" s="58"/>
      <c r="J59" s="58"/>
      <c r="K59" s="58"/>
      <c r="L59" s="58"/>
      <c r="M59" s="58">
        <v>0</v>
      </c>
      <c r="N59" s="58">
        <f t="shared" si="2"/>
        <v>2.5105321</v>
      </c>
      <c r="O59" s="58">
        <f t="shared" si="5"/>
        <v>0.3138165125</v>
      </c>
      <c r="P59" s="58"/>
      <c r="Q59" s="244">
        <v>0.3138165125</v>
      </c>
      <c r="R59" s="79"/>
      <c r="S59" s="156">
        <v>0</v>
      </c>
      <c r="T59" s="58">
        <f t="shared" si="3"/>
        <v>2.5105321</v>
      </c>
      <c r="U59" s="156">
        <v>0.3138165125</v>
      </c>
      <c r="V59" s="79"/>
      <c r="W59" s="156">
        <v>0.3138165125</v>
      </c>
    </row>
    <row r="60" spans="1:23" ht="15" customHeight="1" hidden="1">
      <c r="A60" s="229"/>
      <c r="B60" s="79" t="s">
        <v>709</v>
      </c>
      <c r="C60" s="431">
        <v>0.125</v>
      </c>
      <c r="D60" s="58">
        <v>0</v>
      </c>
      <c r="E60" s="72"/>
      <c r="F60" s="58">
        <v>19.0867547</v>
      </c>
      <c r="G60" s="58">
        <v>1.9086755</v>
      </c>
      <c r="H60" s="58">
        <f t="shared" si="4"/>
        <v>17.1780792</v>
      </c>
      <c r="I60" s="58"/>
      <c r="J60" s="58"/>
      <c r="K60" s="58"/>
      <c r="L60" s="58"/>
      <c r="M60" s="58">
        <v>0</v>
      </c>
      <c r="N60" s="58">
        <f t="shared" si="2"/>
        <v>17.1780792</v>
      </c>
      <c r="O60" s="58">
        <f t="shared" si="5"/>
        <v>2.1472599</v>
      </c>
      <c r="P60" s="58"/>
      <c r="Q60" s="244">
        <v>2.1472599</v>
      </c>
      <c r="R60" s="79"/>
      <c r="S60" s="156">
        <v>0</v>
      </c>
      <c r="T60" s="58">
        <f t="shared" si="3"/>
        <v>17.1780792</v>
      </c>
      <c r="U60" s="156">
        <v>2.1472599</v>
      </c>
      <c r="V60" s="79"/>
      <c r="W60" s="156">
        <v>2.1472599</v>
      </c>
    </row>
    <row r="61" spans="1:23" ht="15" customHeight="1" hidden="1">
      <c r="A61" s="229"/>
      <c r="B61" s="229"/>
      <c r="C61" s="266"/>
      <c r="D61" s="58"/>
      <c r="E61" s="72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79"/>
      <c r="S61" s="79"/>
      <c r="T61" s="79"/>
      <c r="U61" s="79"/>
      <c r="V61" s="79"/>
      <c r="W61" s="79"/>
    </row>
    <row r="62" spans="1:23" ht="15" customHeight="1" hidden="1">
      <c r="A62" s="229"/>
      <c r="B62" s="229"/>
      <c r="C62" s="266"/>
      <c r="D62" s="58"/>
      <c r="E62" s="72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79"/>
      <c r="S62" s="79"/>
      <c r="T62" s="79"/>
      <c r="U62" s="79"/>
      <c r="V62" s="79"/>
      <c r="W62" s="79"/>
    </row>
    <row r="63" spans="1:23" ht="15" customHeight="1" hidden="1">
      <c r="A63" s="229"/>
      <c r="B63" s="229"/>
      <c r="C63" s="266"/>
      <c r="D63" s="58"/>
      <c r="E63" s="72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79"/>
      <c r="S63" s="79"/>
      <c r="T63" s="79"/>
      <c r="U63" s="79"/>
      <c r="V63" s="79"/>
      <c r="W63" s="79"/>
    </row>
    <row r="64" spans="1:23" ht="15" customHeight="1" hidden="1">
      <c r="A64" s="229"/>
      <c r="B64" s="229"/>
      <c r="C64" s="266"/>
      <c r="D64" s="58"/>
      <c r="E64" s="72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79"/>
      <c r="S64" s="79"/>
      <c r="T64" s="79"/>
      <c r="U64" s="79"/>
      <c r="V64" s="79"/>
      <c r="W64" s="79"/>
    </row>
    <row r="65" spans="1:23" ht="18" customHeight="1">
      <c r="A65" s="229"/>
      <c r="B65" s="79" t="s">
        <v>1397</v>
      </c>
      <c r="C65" s="266"/>
      <c r="D65" s="43">
        <f>SUM(D24:D61)</f>
        <v>105.5108831</v>
      </c>
      <c r="E65" s="43">
        <v>0.4</v>
      </c>
      <c r="F65" s="43">
        <f>SUM(F24:F61)</f>
        <v>76.2821678</v>
      </c>
      <c r="G65" s="43">
        <f>SUM(G24:G61)</f>
        <v>10.144575999999999</v>
      </c>
      <c r="H65" s="43">
        <f>SUM(H24:H61)</f>
        <v>171.6484749</v>
      </c>
      <c r="I65" s="43">
        <v>12.5</v>
      </c>
      <c r="J65" s="43">
        <v>0.6</v>
      </c>
      <c r="K65" s="43">
        <f>I65+J65-E65</f>
        <v>12.7</v>
      </c>
      <c r="L65" s="43"/>
      <c r="M65" s="43">
        <f>SUM(M24:M61)</f>
        <v>9.318984780000003</v>
      </c>
      <c r="N65" s="43">
        <f>SUM(N24:N61)</f>
        <v>162.32949012</v>
      </c>
      <c r="O65" s="43">
        <f>SUM(O24:O61)</f>
        <v>20.534531340819996</v>
      </c>
      <c r="P65" s="43">
        <f>SUM(P24:P61)</f>
        <v>0</v>
      </c>
      <c r="Q65" s="43">
        <f>SUM(Q24:Q61)</f>
        <v>20.534531340819996</v>
      </c>
      <c r="R65" s="43">
        <f aca="true" t="shared" si="6" ref="R65:W65">SUM(R24:R61)</f>
        <v>0</v>
      </c>
      <c r="S65" s="43">
        <f t="shared" si="6"/>
        <v>10.825622680000002</v>
      </c>
      <c r="T65" s="43">
        <f t="shared" si="6"/>
        <v>151.50386744000002</v>
      </c>
      <c r="U65" s="43">
        <f t="shared" si="6"/>
        <v>19.487039473881644</v>
      </c>
      <c r="V65" s="43">
        <f t="shared" si="6"/>
        <v>0</v>
      </c>
      <c r="W65" s="43">
        <f t="shared" si="6"/>
        <v>19.487039473881644</v>
      </c>
    </row>
    <row r="66" spans="1:23" ht="18" customHeight="1">
      <c r="A66" s="229"/>
      <c r="B66" s="79" t="s">
        <v>453</v>
      </c>
      <c r="C66" s="266">
        <v>0.1125</v>
      </c>
      <c r="D66" s="58">
        <v>16.69</v>
      </c>
      <c r="E66" s="72">
        <v>0</v>
      </c>
      <c r="F66" s="58">
        <v>0</v>
      </c>
      <c r="G66" s="58">
        <v>1.24</v>
      </c>
      <c r="H66" s="58">
        <f>D66+F66-G66+0.01</f>
        <v>15.46</v>
      </c>
      <c r="I66" s="58">
        <f>K66</f>
        <v>1.83</v>
      </c>
      <c r="J66" s="58">
        <f>(E66+K66-I66)</f>
        <v>0</v>
      </c>
      <c r="K66" s="58">
        <v>1.83</v>
      </c>
      <c r="L66" s="58">
        <v>0</v>
      </c>
      <c r="M66" s="58">
        <v>1.24</v>
      </c>
      <c r="N66" s="58">
        <f>H66+L66-M66</f>
        <v>14.22</v>
      </c>
      <c r="O66" s="58">
        <f>Q66</f>
        <v>1.68</v>
      </c>
      <c r="P66" s="58">
        <f>J66+Q66-O66</f>
        <v>0</v>
      </c>
      <c r="Q66" s="43">
        <v>1.68</v>
      </c>
      <c r="R66" s="79"/>
      <c r="S66" s="58">
        <v>1.24</v>
      </c>
      <c r="T66" s="58">
        <f>N66+R66-S66</f>
        <v>12.98</v>
      </c>
      <c r="U66" s="58">
        <f>W66</f>
        <v>1.54</v>
      </c>
      <c r="V66" s="58">
        <f>P66+W66-U66</f>
        <v>0</v>
      </c>
      <c r="W66" s="43">
        <v>1.54</v>
      </c>
    </row>
    <row r="67" spans="1:23" ht="17.25" customHeight="1">
      <c r="A67" s="229"/>
      <c r="B67" s="79" t="s">
        <v>261</v>
      </c>
      <c r="C67" s="266">
        <v>0.125</v>
      </c>
      <c r="D67" s="58">
        <v>0</v>
      </c>
      <c r="E67" s="72">
        <v>0</v>
      </c>
      <c r="F67" s="58">
        <v>14.53</v>
      </c>
      <c r="G67" s="58">
        <v>0</v>
      </c>
      <c r="H67" s="58">
        <f>D67+F67-G67</f>
        <v>14.53</v>
      </c>
      <c r="I67" s="58">
        <f>K67</f>
        <v>0</v>
      </c>
      <c r="J67" s="58">
        <f>(E67+K67-I67)</f>
        <v>0</v>
      </c>
      <c r="K67" s="58">
        <v>0</v>
      </c>
      <c r="L67" s="58">
        <v>0</v>
      </c>
      <c r="M67" s="58">
        <v>1.08</v>
      </c>
      <c r="N67" s="58">
        <f>H67+L67-M67</f>
        <v>13.45</v>
      </c>
      <c r="O67" s="58">
        <f>Q67</f>
        <v>1.82</v>
      </c>
      <c r="P67" s="58">
        <f>J67+Q67-O67</f>
        <v>0</v>
      </c>
      <c r="Q67" s="58">
        <v>1.82</v>
      </c>
      <c r="R67" s="79"/>
      <c r="S67" s="58">
        <v>1.08</v>
      </c>
      <c r="T67" s="58">
        <f>N67+R67-S67</f>
        <v>12.37</v>
      </c>
      <c r="U67" s="58">
        <f>W67</f>
        <v>1.68</v>
      </c>
      <c r="V67" s="58">
        <f>P67+W67-U67</f>
        <v>0</v>
      </c>
      <c r="W67" s="58">
        <v>1.68</v>
      </c>
    </row>
    <row r="68" spans="1:23" ht="18" customHeight="1" hidden="1">
      <c r="A68" s="229"/>
      <c r="B68" s="267" t="s">
        <v>1018</v>
      </c>
      <c r="C68" s="266"/>
      <c r="D68" s="43">
        <f aca="true" t="shared" si="7" ref="D68:J68">SUM(D65:D67)</f>
        <v>122.2008831</v>
      </c>
      <c r="E68" s="43">
        <f t="shared" si="7"/>
        <v>0.4</v>
      </c>
      <c r="F68" s="43">
        <f t="shared" si="7"/>
        <v>90.8121678</v>
      </c>
      <c r="G68" s="43">
        <f t="shared" si="7"/>
        <v>11.384576</v>
      </c>
      <c r="H68" s="43">
        <f t="shared" si="7"/>
        <v>201.6384749</v>
      </c>
      <c r="I68" s="43">
        <f t="shared" si="7"/>
        <v>14.33</v>
      </c>
      <c r="J68" s="43">
        <f t="shared" si="7"/>
        <v>0.6</v>
      </c>
      <c r="K68" s="43">
        <f aca="true" t="shared" si="8" ref="K68:W68">SUM(K65:K67)</f>
        <v>14.53</v>
      </c>
      <c r="L68" s="43">
        <f t="shared" si="8"/>
        <v>0</v>
      </c>
      <c r="M68" s="43">
        <f t="shared" si="8"/>
        <v>11.638984780000003</v>
      </c>
      <c r="N68" s="43">
        <f t="shared" si="8"/>
        <v>189.99949012</v>
      </c>
      <c r="O68" s="43">
        <f t="shared" si="8"/>
        <v>24.034531340819996</v>
      </c>
      <c r="P68" s="43">
        <f t="shared" si="8"/>
        <v>0</v>
      </c>
      <c r="Q68" s="43">
        <f t="shared" si="8"/>
        <v>24.034531340819996</v>
      </c>
      <c r="R68" s="43">
        <f t="shared" si="8"/>
        <v>0</v>
      </c>
      <c r="S68" s="43">
        <f t="shared" si="8"/>
        <v>13.145622680000002</v>
      </c>
      <c r="T68" s="43">
        <f t="shared" si="8"/>
        <v>176.85386744000002</v>
      </c>
      <c r="U68" s="43">
        <f t="shared" si="8"/>
        <v>22.707039473881643</v>
      </c>
      <c r="V68" s="43">
        <f t="shared" si="8"/>
        <v>0</v>
      </c>
      <c r="W68" s="43">
        <f t="shared" si="8"/>
        <v>22.707039473881643</v>
      </c>
    </row>
    <row r="69" spans="1:23" ht="11.25" customHeight="1" hidden="1">
      <c r="A69" s="229" t="s">
        <v>1024</v>
      </c>
      <c r="B69" s="229" t="s">
        <v>725</v>
      </c>
      <c r="C69" s="266"/>
      <c r="D69" s="58"/>
      <c r="E69" s="72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79"/>
      <c r="S69" s="79"/>
      <c r="T69" s="79"/>
      <c r="U69" s="79"/>
      <c r="V69" s="79"/>
      <c r="W69" s="79"/>
    </row>
    <row r="70" spans="1:23" ht="17.25" customHeight="1">
      <c r="A70" s="229"/>
      <c r="B70" s="79" t="s">
        <v>826</v>
      </c>
      <c r="C70" s="266">
        <v>0.0825</v>
      </c>
      <c r="D70" s="58">
        <v>12.81</v>
      </c>
      <c r="E70" s="72">
        <v>0</v>
      </c>
      <c r="F70" s="58">
        <v>0</v>
      </c>
      <c r="G70" s="58">
        <v>12.65</v>
      </c>
      <c r="H70" s="58">
        <f>D70+F70-G70-0.01</f>
        <v>0.15000000000000013</v>
      </c>
      <c r="I70" s="58">
        <f>K70</f>
        <v>0.48</v>
      </c>
      <c r="J70" s="58">
        <f>E70+K70-I70</f>
        <v>0</v>
      </c>
      <c r="K70" s="58">
        <v>0.48</v>
      </c>
      <c r="L70" s="58">
        <v>0</v>
      </c>
      <c r="M70" s="58">
        <v>0.15</v>
      </c>
      <c r="N70" s="58">
        <f>H70+L70-M70</f>
        <v>0</v>
      </c>
      <c r="O70" s="58">
        <f>Q70</f>
        <v>0</v>
      </c>
      <c r="P70" s="58">
        <f>J70+Q70-O70</f>
        <v>0</v>
      </c>
      <c r="Q70" s="58"/>
      <c r="R70" s="79"/>
      <c r="S70" s="58">
        <v>0</v>
      </c>
      <c r="T70" s="58">
        <v>0</v>
      </c>
      <c r="U70" s="58">
        <f>W70</f>
        <v>0</v>
      </c>
      <c r="V70" s="58">
        <f>P70+W70-U70</f>
        <v>0</v>
      </c>
      <c r="W70" s="58">
        <v>0</v>
      </c>
    </row>
    <row r="71" spans="1:23" ht="17.25" customHeight="1">
      <c r="A71" s="229"/>
      <c r="B71" s="268" t="s">
        <v>1087</v>
      </c>
      <c r="C71" s="266">
        <v>0.11</v>
      </c>
      <c r="D71" s="58">
        <v>75.69</v>
      </c>
      <c r="E71" s="72">
        <v>0</v>
      </c>
      <c r="F71" s="58">
        <v>0</v>
      </c>
      <c r="G71" s="58">
        <v>28.87</v>
      </c>
      <c r="H71" s="58">
        <f>D71+F71-G71</f>
        <v>46.81999999999999</v>
      </c>
      <c r="I71" s="58">
        <f>K71</f>
        <v>6.76</v>
      </c>
      <c r="J71" s="58">
        <f>E71+K71-I71</f>
        <v>0</v>
      </c>
      <c r="K71" s="58">
        <v>6.76</v>
      </c>
      <c r="L71" s="58">
        <v>0</v>
      </c>
      <c r="M71" s="58">
        <v>28.87</v>
      </c>
      <c r="N71" s="58">
        <f>H71+L71-M71</f>
        <v>17.949999999999992</v>
      </c>
      <c r="O71" s="58">
        <f>Q71</f>
        <v>3.69</v>
      </c>
      <c r="P71" s="58">
        <f>J71+Q71-O71</f>
        <v>0</v>
      </c>
      <c r="Q71" s="58">
        <v>3.69</v>
      </c>
      <c r="R71" s="79"/>
      <c r="S71" s="58">
        <v>17.95</v>
      </c>
      <c r="T71" s="58">
        <f>N71+R71-S71</f>
        <v>0</v>
      </c>
      <c r="U71" s="58">
        <f>W71</f>
        <v>0.7</v>
      </c>
      <c r="V71" s="58">
        <f>P71+W71-U71</f>
        <v>0</v>
      </c>
      <c r="W71" s="58">
        <v>0.7</v>
      </c>
    </row>
    <row r="72" spans="1:23" ht="21" customHeight="1">
      <c r="A72" s="229"/>
      <c r="B72" s="79" t="s">
        <v>1071</v>
      </c>
      <c r="C72" s="266">
        <v>0.1175</v>
      </c>
      <c r="D72" s="58">
        <v>12.23</v>
      </c>
      <c r="E72" s="72">
        <v>0</v>
      </c>
      <c r="F72" s="58">
        <v>0</v>
      </c>
      <c r="G72" s="58">
        <v>12.23</v>
      </c>
      <c r="H72" s="58">
        <f>D72+F72-G72</f>
        <v>0</v>
      </c>
      <c r="I72" s="58">
        <f>K72</f>
        <v>0.26</v>
      </c>
      <c r="J72" s="58">
        <f>E72+K72-I72</f>
        <v>0</v>
      </c>
      <c r="K72" s="58">
        <v>0.26</v>
      </c>
      <c r="L72" s="58">
        <v>0</v>
      </c>
      <c r="M72" s="58"/>
      <c r="N72" s="58">
        <f>H72+L72-M72</f>
        <v>0</v>
      </c>
      <c r="O72" s="58">
        <f>Q72</f>
        <v>0</v>
      </c>
      <c r="P72" s="58">
        <f>J72+Q72-O72</f>
        <v>0</v>
      </c>
      <c r="Q72" s="58"/>
      <c r="R72" s="79"/>
      <c r="S72" s="58">
        <v>0</v>
      </c>
      <c r="T72" s="58">
        <f>N72+R72-S72</f>
        <v>0</v>
      </c>
      <c r="U72" s="58">
        <f>W72</f>
        <v>0</v>
      </c>
      <c r="V72" s="58">
        <f>P72+W72-U72</f>
        <v>0</v>
      </c>
      <c r="W72" s="58">
        <v>0</v>
      </c>
    </row>
    <row r="73" spans="1:23" ht="18" customHeight="1">
      <c r="A73" s="229"/>
      <c r="B73" s="268" t="s">
        <v>539</v>
      </c>
      <c r="C73" s="266">
        <v>0.1175</v>
      </c>
      <c r="D73" s="58">
        <v>87.55</v>
      </c>
      <c r="E73" s="72">
        <v>0</v>
      </c>
      <c r="F73" s="58">
        <v>0</v>
      </c>
      <c r="G73" s="58">
        <v>28.65</v>
      </c>
      <c r="H73" s="58">
        <f>D73+F73-G73+0.01</f>
        <v>58.91</v>
      </c>
      <c r="I73" s="58">
        <f>K73</f>
        <v>8.34</v>
      </c>
      <c r="J73" s="58">
        <f>E73+K73-I73</f>
        <v>0</v>
      </c>
      <c r="K73" s="58">
        <v>8.34</v>
      </c>
      <c r="L73" s="58">
        <v>0</v>
      </c>
      <c r="M73" s="58">
        <v>28.57</v>
      </c>
      <c r="N73" s="58">
        <f>H73+L73-M73</f>
        <v>30.339999999999996</v>
      </c>
      <c r="O73" s="58">
        <f>Q73</f>
        <v>5.38</v>
      </c>
      <c r="P73" s="58">
        <f>J73+Q73-O73</f>
        <v>0</v>
      </c>
      <c r="Q73" s="58">
        <v>5.38</v>
      </c>
      <c r="R73" s="79"/>
      <c r="S73" s="58">
        <v>28.57</v>
      </c>
      <c r="T73" s="58">
        <f>N73+R73-S73</f>
        <v>1.769999999999996</v>
      </c>
      <c r="U73" s="58">
        <f>W73</f>
        <v>2.01</v>
      </c>
      <c r="V73" s="58">
        <f>P73+W73-U73</f>
        <v>0</v>
      </c>
      <c r="W73" s="58">
        <v>2.01</v>
      </c>
    </row>
    <row r="74" spans="1:23" ht="11.25" customHeight="1">
      <c r="A74" s="229"/>
      <c r="B74" s="268"/>
      <c r="C74" s="266"/>
      <c r="D74" s="58">
        <v>0</v>
      </c>
      <c r="E74" s="72">
        <v>0</v>
      </c>
      <c r="F74" s="58">
        <v>0</v>
      </c>
      <c r="G74" s="58">
        <v>0</v>
      </c>
      <c r="H74" s="58">
        <f>D74+F74-G74</f>
        <v>0</v>
      </c>
      <c r="I74" s="58">
        <v>0</v>
      </c>
      <c r="J74" s="58">
        <f>E74+K74-I74</f>
        <v>0</v>
      </c>
      <c r="K74" s="58">
        <v>0</v>
      </c>
      <c r="L74" s="58">
        <v>0</v>
      </c>
      <c r="M74" s="58">
        <v>0</v>
      </c>
      <c r="N74" s="58">
        <f>H74+L74-M74</f>
        <v>0</v>
      </c>
      <c r="O74" s="58">
        <f>Q74</f>
        <v>0</v>
      </c>
      <c r="P74" s="58">
        <f>J74+Q74-O74</f>
        <v>0</v>
      </c>
      <c r="Q74" s="58">
        <v>0</v>
      </c>
      <c r="R74" s="79"/>
      <c r="S74" s="58">
        <v>0</v>
      </c>
      <c r="T74" s="58">
        <f>N74+R74-S74</f>
        <v>0</v>
      </c>
      <c r="U74" s="58">
        <f>W74</f>
        <v>0</v>
      </c>
      <c r="V74" s="58">
        <f>P74+W74-U74</f>
        <v>0</v>
      </c>
      <c r="W74" s="58">
        <v>0</v>
      </c>
    </row>
    <row r="75" spans="1:23" s="228" customFormat="1" ht="14.25" customHeight="1" hidden="1">
      <c r="A75" s="229"/>
      <c r="B75" s="267" t="s">
        <v>1018</v>
      </c>
      <c r="C75" s="269"/>
      <c r="D75" s="43">
        <f>SUM(D70:D74)</f>
        <v>188.28</v>
      </c>
      <c r="E75" s="43">
        <f>SUM(E70:E74)</f>
        <v>0</v>
      </c>
      <c r="F75" s="43">
        <f>SUM(F70:F74)</f>
        <v>0</v>
      </c>
      <c r="G75" s="43">
        <f aca="true" t="shared" si="9" ref="G75:W75">SUM(G70:G74)</f>
        <v>82.4</v>
      </c>
      <c r="H75" s="43">
        <f t="shared" si="9"/>
        <v>105.88</v>
      </c>
      <c r="I75" s="43">
        <f t="shared" si="9"/>
        <v>15.84</v>
      </c>
      <c r="J75" s="43">
        <f t="shared" si="9"/>
        <v>0</v>
      </c>
      <c r="K75" s="43">
        <f t="shared" si="9"/>
        <v>15.84</v>
      </c>
      <c r="L75" s="43">
        <f t="shared" si="9"/>
        <v>0</v>
      </c>
      <c r="M75" s="43">
        <f>SUM(M70:M74)</f>
        <v>57.59</v>
      </c>
      <c r="N75" s="43">
        <f>SUM(N70:N74)</f>
        <v>48.28999999999999</v>
      </c>
      <c r="O75" s="43">
        <f>SUM(O70:O74)</f>
        <v>9.07</v>
      </c>
      <c r="P75" s="43">
        <f>SUM(P70:P74)</f>
        <v>0</v>
      </c>
      <c r="Q75" s="43">
        <f>SUM(Q70:Q74)</f>
        <v>9.07</v>
      </c>
      <c r="R75" s="43">
        <f t="shared" si="9"/>
        <v>0</v>
      </c>
      <c r="S75" s="43">
        <f t="shared" si="9"/>
        <v>46.519999999999996</v>
      </c>
      <c r="T75" s="43">
        <f t="shared" si="9"/>
        <v>1.769999999999996</v>
      </c>
      <c r="U75" s="43">
        <f t="shared" si="9"/>
        <v>2.71</v>
      </c>
      <c r="V75" s="43">
        <f t="shared" si="9"/>
        <v>0</v>
      </c>
      <c r="W75" s="43">
        <f t="shared" si="9"/>
        <v>2.71</v>
      </c>
    </row>
    <row r="76" spans="1:23" s="228" customFormat="1" ht="14.25" customHeight="1">
      <c r="A76" s="229"/>
      <c r="B76" s="267" t="s">
        <v>1018</v>
      </c>
      <c r="C76" s="269"/>
      <c r="D76" s="43">
        <f>D75+D68</f>
        <v>310.4808831</v>
      </c>
      <c r="E76" s="43">
        <f aca="true" t="shared" si="10" ref="E76:K76">E75+E68</f>
        <v>0.4</v>
      </c>
      <c r="F76" s="43">
        <f t="shared" si="10"/>
        <v>90.8121678</v>
      </c>
      <c r="G76" s="43">
        <f t="shared" si="10"/>
        <v>93.784576</v>
      </c>
      <c r="H76" s="43">
        <f t="shared" si="10"/>
        <v>307.5184749</v>
      </c>
      <c r="I76" s="43">
        <f t="shared" si="10"/>
        <v>30.17</v>
      </c>
      <c r="J76" s="43">
        <f t="shared" si="10"/>
        <v>0.6</v>
      </c>
      <c r="K76" s="43">
        <f t="shared" si="10"/>
        <v>30.369999999999997</v>
      </c>
      <c r="L76" s="43">
        <f aca="true" t="shared" si="11" ref="L76:W76">L75+L68</f>
        <v>0</v>
      </c>
      <c r="M76" s="43">
        <f t="shared" si="11"/>
        <v>69.22898478</v>
      </c>
      <c r="N76" s="43">
        <f t="shared" si="11"/>
        <v>238.28949011999998</v>
      </c>
      <c r="O76" s="43">
        <f t="shared" si="11"/>
        <v>33.104531340819996</v>
      </c>
      <c r="P76" s="43">
        <f t="shared" si="11"/>
        <v>0</v>
      </c>
      <c r="Q76" s="43">
        <f t="shared" si="11"/>
        <v>33.104531340819996</v>
      </c>
      <c r="R76" s="43">
        <f t="shared" si="11"/>
        <v>0</v>
      </c>
      <c r="S76" s="43">
        <f t="shared" si="11"/>
        <v>59.66562268</v>
      </c>
      <c r="T76" s="43">
        <f t="shared" si="11"/>
        <v>178.62386744000003</v>
      </c>
      <c r="U76" s="43">
        <f t="shared" si="11"/>
        <v>25.417039473881644</v>
      </c>
      <c r="V76" s="43">
        <f t="shared" si="11"/>
        <v>0</v>
      </c>
      <c r="W76" s="43">
        <f t="shared" si="11"/>
        <v>25.417039473881644</v>
      </c>
    </row>
    <row r="77" spans="1:23" s="265" customFormat="1" ht="13.5" customHeight="1">
      <c r="A77" s="231" t="s">
        <v>1024</v>
      </c>
      <c r="B77" s="229" t="s">
        <v>854</v>
      </c>
      <c r="C77" s="231"/>
      <c r="D77" s="261"/>
      <c r="E77" s="231"/>
      <c r="F77" s="261"/>
      <c r="G77" s="261"/>
      <c r="H77" s="261"/>
      <c r="I77" s="261"/>
      <c r="J77" s="261"/>
      <c r="K77" s="261"/>
      <c r="L77" s="261"/>
      <c r="M77" s="261"/>
      <c r="N77" s="261"/>
      <c r="O77" s="261"/>
      <c r="P77" s="261"/>
      <c r="Q77" s="261"/>
      <c r="R77" s="231"/>
      <c r="S77" s="231"/>
      <c r="T77" s="231"/>
      <c r="U77" s="231"/>
      <c r="V77" s="231"/>
      <c r="W77" s="231"/>
    </row>
    <row r="78" spans="1:23" ht="18.75" customHeight="1">
      <c r="A78" s="66"/>
      <c r="B78" s="79" t="s">
        <v>718</v>
      </c>
      <c r="C78" s="266">
        <v>0.09</v>
      </c>
      <c r="D78" s="58">
        <v>24</v>
      </c>
      <c r="E78" s="72">
        <v>17</v>
      </c>
      <c r="F78" s="58">
        <v>0</v>
      </c>
      <c r="G78" s="58">
        <v>24</v>
      </c>
      <c r="H78" s="58">
        <f>D78+F78-G78</f>
        <v>0</v>
      </c>
      <c r="I78" s="58">
        <v>17</v>
      </c>
      <c r="J78" s="58">
        <f>E78+K78-I78</f>
        <v>0</v>
      </c>
      <c r="K78" s="58">
        <v>0</v>
      </c>
      <c r="L78" s="58">
        <v>0</v>
      </c>
      <c r="M78" s="58"/>
      <c r="N78" s="58">
        <f>H78+L78-M78</f>
        <v>0</v>
      </c>
      <c r="O78" s="58"/>
      <c r="P78" s="58">
        <f>J78+Q78-O78</f>
        <v>0</v>
      </c>
      <c r="Q78" s="58">
        <v>0</v>
      </c>
      <c r="R78" s="79"/>
      <c r="S78" s="72">
        <v>0</v>
      </c>
      <c r="T78" s="58">
        <f>N78+R78-S78</f>
        <v>0</v>
      </c>
      <c r="U78" s="58">
        <v>0</v>
      </c>
      <c r="V78" s="58">
        <f>P78+W78-U78</f>
        <v>0</v>
      </c>
      <c r="W78" s="72">
        <v>0</v>
      </c>
    </row>
    <row r="79" spans="1:23" s="228" customFormat="1" ht="18" customHeight="1">
      <c r="A79" s="229"/>
      <c r="B79" s="270" t="s">
        <v>1018</v>
      </c>
      <c r="C79" s="269"/>
      <c r="D79" s="43">
        <f aca="true" t="shared" si="12" ref="D79:W79">SUM(D78:D78)</f>
        <v>24</v>
      </c>
      <c r="E79" s="43">
        <f t="shared" si="12"/>
        <v>17</v>
      </c>
      <c r="F79" s="43">
        <f t="shared" si="12"/>
        <v>0</v>
      </c>
      <c r="G79" s="43">
        <f t="shared" si="12"/>
        <v>24</v>
      </c>
      <c r="H79" s="43">
        <f t="shared" si="12"/>
        <v>0</v>
      </c>
      <c r="I79" s="43">
        <f t="shared" si="12"/>
        <v>17</v>
      </c>
      <c r="J79" s="43">
        <f t="shared" si="12"/>
        <v>0</v>
      </c>
      <c r="K79" s="43">
        <f t="shared" si="12"/>
        <v>0</v>
      </c>
      <c r="L79" s="43">
        <f t="shared" si="12"/>
        <v>0</v>
      </c>
      <c r="M79" s="43">
        <f t="shared" si="12"/>
        <v>0</v>
      </c>
      <c r="N79" s="43">
        <f t="shared" si="12"/>
        <v>0</v>
      </c>
      <c r="O79" s="43">
        <f t="shared" si="12"/>
        <v>0</v>
      </c>
      <c r="P79" s="43">
        <f t="shared" si="12"/>
        <v>0</v>
      </c>
      <c r="Q79" s="43">
        <f t="shared" si="12"/>
        <v>0</v>
      </c>
      <c r="R79" s="43">
        <f t="shared" si="12"/>
        <v>0</v>
      </c>
      <c r="S79" s="43">
        <f t="shared" si="12"/>
        <v>0</v>
      </c>
      <c r="T79" s="43">
        <f t="shared" si="12"/>
        <v>0</v>
      </c>
      <c r="U79" s="43">
        <f t="shared" si="12"/>
        <v>0</v>
      </c>
      <c r="V79" s="43">
        <f t="shared" si="12"/>
        <v>0</v>
      </c>
      <c r="W79" s="43">
        <f t="shared" si="12"/>
        <v>0</v>
      </c>
    </row>
    <row r="80" spans="1:23" s="228" customFormat="1" ht="20.25" customHeight="1">
      <c r="A80" s="229" t="s">
        <v>1023</v>
      </c>
      <c r="B80" s="229" t="s">
        <v>726</v>
      </c>
      <c r="C80" s="269"/>
      <c r="D80" s="43"/>
      <c r="E80" s="229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229"/>
      <c r="S80" s="229"/>
      <c r="T80" s="229"/>
      <c r="U80" s="229"/>
      <c r="V80" s="229"/>
      <c r="W80" s="229"/>
    </row>
    <row r="81" spans="1:119" s="228" customFormat="1" ht="19.5" customHeight="1">
      <c r="A81" s="229"/>
      <c r="B81" s="229" t="s">
        <v>419</v>
      </c>
      <c r="C81" s="269"/>
      <c r="D81" s="43">
        <v>76.14</v>
      </c>
      <c r="E81" s="43">
        <v>0</v>
      </c>
      <c r="F81" s="43">
        <v>6.91</v>
      </c>
      <c r="G81" s="43">
        <v>0.19</v>
      </c>
      <c r="H81" s="43">
        <f>D81+F81-G81</f>
        <v>82.86</v>
      </c>
      <c r="I81" s="43">
        <v>0</v>
      </c>
      <c r="J81" s="43">
        <v>0</v>
      </c>
      <c r="K81" s="43">
        <v>0</v>
      </c>
      <c r="L81" s="43">
        <f>4.66*2</f>
        <v>9.32</v>
      </c>
      <c r="M81" s="43">
        <f>0.86*2</f>
        <v>1.72</v>
      </c>
      <c r="N81" s="58">
        <f>H81+L81-M81</f>
        <v>90.46000000000001</v>
      </c>
      <c r="O81" s="43">
        <v>0</v>
      </c>
      <c r="P81" s="43">
        <v>0</v>
      </c>
      <c r="Q81" s="43">
        <v>0</v>
      </c>
      <c r="R81" s="43">
        <v>2</v>
      </c>
      <c r="S81" s="43">
        <v>3</v>
      </c>
      <c r="T81" s="43">
        <f>N81+R81-S81</f>
        <v>89.46000000000001</v>
      </c>
      <c r="U81" s="43">
        <v>0</v>
      </c>
      <c r="V81" s="43">
        <v>0</v>
      </c>
      <c r="W81" s="43">
        <v>0</v>
      </c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3"/>
      <c r="CA81" s="43"/>
      <c r="CB81" s="43"/>
      <c r="CC81" s="43"/>
      <c r="CD81" s="43"/>
      <c r="CE81" s="43"/>
      <c r="CF81" s="43"/>
      <c r="CG81" s="43"/>
      <c r="CH81" s="43"/>
      <c r="CI81" s="43"/>
      <c r="CJ81" s="43"/>
      <c r="CK81" s="43"/>
      <c r="CL81" s="43"/>
      <c r="CM81" s="43"/>
      <c r="CN81" s="43"/>
      <c r="CO81" s="43"/>
      <c r="CP81" s="43"/>
      <c r="CQ81" s="43"/>
      <c r="CR81" s="43"/>
      <c r="CS81" s="43"/>
      <c r="CT81" s="43"/>
      <c r="CU81" s="43"/>
      <c r="CV81" s="43"/>
      <c r="CW81" s="43"/>
      <c r="CX81" s="43"/>
      <c r="CY81" s="43"/>
      <c r="CZ81" s="43"/>
      <c r="DA81" s="43"/>
      <c r="DB81" s="43"/>
      <c r="DC81" s="43"/>
      <c r="DD81" s="43"/>
      <c r="DE81" s="43"/>
      <c r="DF81" s="43"/>
      <c r="DG81" s="43"/>
      <c r="DH81" s="43"/>
      <c r="DI81" s="43"/>
      <c r="DJ81" s="43"/>
      <c r="DK81" s="43"/>
      <c r="DL81" s="43"/>
      <c r="DM81" s="43"/>
      <c r="DN81" s="43"/>
      <c r="DO81" s="43"/>
    </row>
    <row r="82" spans="1:23" s="228" customFormat="1" ht="7.5" customHeight="1">
      <c r="A82" s="229"/>
      <c r="B82" s="229"/>
      <c r="C82" s="269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</row>
    <row r="83" spans="1:23" s="228" customFormat="1" ht="22.5" customHeight="1">
      <c r="A83" s="229" t="s">
        <v>322</v>
      </c>
      <c r="B83" s="330" t="s">
        <v>1002</v>
      </c>
      <c r="C83" s="269">
        <v>0.1225</v>
      </c>
      <c r="D83" s="43"/>
      <c r="E83" s="43"/>
      <c r="F83" s="43"/>
      <c r="G83" s="43"/>
      <c r="H83" s="43"/>
      <c r="I83" s="43"/>
      <c r="J83" s="43"/>
      <c r="K83" s="43"/>
      <c r="L83" s="58">
        <f>L98*0.85</f>
        <v>351.10949999999997</v>
      </c>
      <c r="M83" s="43"/>
      <c r="N83" s="58">
        <f>H83+L83-M83</f>
        <v>351.10949999999997</v>
      </c>
      <c r="O83" s="58">
        <f>Q83</f>
        <v>21.505456874999997</v>
      </c>
      <c r="P83" s="58">
        <f>J83+Q83-O83</f>
        <v>0</v>
      </c>
      <c r="Q83" s="43">
        <f>N83*C83/2</f>
        <v>21.505456874999997</v>
      </c>
      <c r="R83" s="58">
        <f>R98*0.85</f>
        <v>543.8214999999999</v>
      </c>
      <c r="S83" s="43">
        <v>0</v>
      </c>
      <c r="T83" s="43">
        <f>N83+R83-S83</f>
        <v>894.9309999999998</v>
      </c>
      <c r="U83" s="43">
        <f>W83</f>
        <v>54.814523749999985</v>
      </c>
      <c r="V83" s="43">
        <f>P83+W83-U83</f>
        <v>0</v>
      </c>
      <c r="W83" s="43">
        <f>T83*$C83/2</f>
        <v>54.814523749999985</v>
      </c>
    </row>
    <row r="84" spans="1:23" s="228" customFormat="1" ht="24.75" customHeight="1">
      <c r="A84" s="229" t="s">
        <v>1028</v>
      </c>
      <c r="B84" s="312" t="s">
        <v>235</v>
      </c>
      <c r="C84" s="269">
        <v>0.095</v>
      </c>
      <c r="D84" s="43"/>
      <c r="E84" s="43"/>
      <c r="F84" s="43"/>
      <c r="G84" s="43"/>
      <c r="H84" s="43"/>
      <c r="I84" s="43"/>
      <c r="J84" s="43"/>
      <c r="K84" s="43"/>
      <c r="L84" s="58">
        <f>182.63*0.1*0</f>
        <v>0</v>
      </c>
      <c r="M84" s="43"/>
      <c r="N84" s="58">
        <f>H84+L84-M84</f>
        <v>0</v>
      </c>
      <c r="O84" s="58">
        <f>Q84</f>
        <v>0</v>
      </c>
      <c r="P84" s="58">
        <f>J84+Q84-O84</f>
        <v>0</v>
      </c>
      <c r="Q84" s="43">
        <f>N84*C84/2</f>
        <v>0</v>
      </c>
      <c r="R84" s="58">
        <f>R98*0.1*0</f>
        <v>0</v>
      </c>
      <c r="S84" s="43">
        <v>0</v>
      </c>
      <c r="T84" s="43">
        <f>N84+R84-S84</f>
        <v>0</v>
      </c>
      <c r="U84" s="43">
        <f>W84</f>
        <v>0</v>
      </c>
      <c r="V84" s="43">
        <f>P84+W84-U84</f>
        <v>0</v>
      </c>
      <c r="W84" s="43">
        <f>T84*$C84/2</f>
        <v>0</v>
      </c>
    </row>
    <row r="85" spans="1:25" ht="15.75" customHeight="1">
      <c r="A85" s="229" t="s">
        <v>811</v>
      </c>
      <c r="B85" s="229" t="s">
        <v>730</v>
      </c>
      <c r="C85" s="79"/>
      <c r="D85" s="58"/>
      <c r="E85" s="72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79"/>
      <c r="S85" s="79"/>
      <c r="T85" s="79"/>
      <c r="U85" s="79"/>
      <c r="V85" s="79"/>
      <c r="W85" s="79"/>
      <c r="Y85" s="157"/>
    </row>
    <row r="86" spans="1:25" ht="17.25" customHeight="1">
      <c r="A86" s="229"/>
      <c r="B86" s="268" t="s">
        <v>723</v>
      </c>
      <c r="C86" s="266">
        <v>0.12</v>
      </c>
      <c r="D86" s="58">
        <v>0.77</v>
      </c>
      <c r="E86" s="72"/>
      <c r="F86" s="58">
        <v>0</v>
      </c>
      <c r="G86" s="58">
        <v>0</v>
      </c>
      <c r="H86" s="58">
        <v>0.77</v>
      </c>
      <c r="I86" s="58">
        <v>0</v>
      </c>
      <c r="J86" s="58">
        <f>E86+K86-I86</f>
        <v>0</v>
      </c>
      <c r="K86" s="58">
        <v>0</v>
      </c>
      <c r="L86" s="58">
        <v>0</v>
      </c>
      <c r="M86" s="58">
        <v>0.02</v>
      </c>
      <c r="N86" s="58">
        <f>H86+L86-M86</f>
        <v>0.75</v>
      </c>
      <c r="O86" s="58">
        <f>J86+Q86</f>
        <v>0</v>
      </c>
      <c r="P86" s="58">
        <f>J86+Q86-O86</f>
        <v>0</v>
      </c>
      <c r="Q86" s="58">
        <v>0</v>
      </c>
      <c r="R86" s="79"/>
      <c r="S86" s="79">
        <v>0.02</v>
      </c>
      <c r="T86" s="43">
        <f>N86+R86-S86</f>
        <v>0.73</v>
      </c>
      <c r="U86" s="79"/>
      <c r="V86" s="79"/>
      <c r="W86" s="79"/>
      <c r="Y86" s="157"/>
    </row>
    <row r="87" spans="1:23" ht="12.75">
      <c r="A87" s="229"/>
      <c r="B87" s="268" t="s">
        <v>254</v>
      </c>
      <c r="C87" s="79"/>
      <c r="D87" s="58">
        <v>0</v>
      </c>
      <c r="E87" s="72">
        <v>0</v>
      </c>
      <c r="F87" s="58">
        <v>0</v>
      </c>
      <c r="G87" s="58">
        <v>0</v>
      </c>
      <c r="H87" s="58">
        <f>D87+F87-G87</f>
        <v>0</v>
      </c>
      <c r="I87" s="58">
        <f>0.98+7.44-0.38</f>
        <v>8.04</v>
      </c>
      <c r="J87" s="58">
        <v>0.38</v>
      </c>
      <c r="K87" s="58">
        <f>I87+J87</f>
        <v>8.42</v>
      </c>
      <c r="L87" s="58">
        <v>0</v>
      </c>
      <c r="M87" s="58"/>
      <c r="N87" s="58">
        <f>H87+L87-M87</f>
        <v>0</v>
      </c>
      <c r="O87" s="58">
        <f>Q87+0.38</f>
        <v>12.211346547000002</v>
      </c>
      <c r="P87" s="58">
        <f>J87+Q87-O87</f>
        <v>0</v>
      </c>
      <c r="Q87" s="58">
        <f>'MU Handled '!X19</f>
        <v>11.831346547</v>
      </c>
      <c r="R87" s="79"/>
      <c r="S87" s="79"/>
      <c r="T87" s="79"/>
      <c r="U87" s="156">
        <f>W87</f>
        <v>13.61</v>
      </c>
      <c r="V87" s="79"/>
      <c r="W87" s="156">
        <v>13.61</v>
      </c>
    </row>
    <row r="88" spans="1:23" ht="18" customHeight="1">
      <c r="A88" s="229"/>
      <c r="B88" s="229" t="s">
        <v>1018</v>
      </c>
      <c r="C88" s="79"/>
      <c r="D88" s="43">
        <f>SUM(D86:D87)</f>
        <v>0.77</v>
      </c>
      <c r="E88" s="43">
        <f>SUM(E86:E87)</f>
        <v>0</v>
      </c>
      <c r="F88" s="43">
        <f>SUM(F86:F87)</f>
        <v>0</v>
      </c>
      <c r="G88" s="43">
        <f aca="true" t="shared" si="13" ref="G88:W88">SUM(G86:G87)</f>
        <v>0</v>
      </c>
      <c r="H88" s="43">
        <f t="shared" si="13"/>
        <v>0.77</v>
      </c>
      <c r="I88" s="43">
        <f t="shared" si="13"/>
        <v>8.04</v>
      </c>
      <c r="J88" s="43">
        <f t="shared" si="13"/>
        <v>0.38</v>
      </c>
      <c r="K88" s="43">
        <f t="shared" si="13"/>
        <v>8.42</v>
      </c>
      <c r="L88" s="43">
        <f t="shared" si="13"/>
        <v>0</v>
      </c>
      <c r="M88" s="43">
        <f t="shared" si="13"/>
        <v>0.02</v>
      </c>
      <c r="N88" s="43">
        <f t="shared" si="13"/>
        <v>0.75</v>
      </c>
      <c r="O88" s="43">
        <f t="shared" si="13"/>
        <v>12.211346547000002</v>
      </c>
      <c r="P88" s="43">
        <f t="shared" si="13"/>
        <v>0</v>
      </c>
      <c r="Q88" s="43">
        <f t="shared" si="13"/>
        <v>11.831346547</v>
      </c>
      <c r="R88" s="43">
        <f t="shared" si="13"/>
        <v>0</v>
      </c>
      <c r="S88" s="43">
        <f t="shared" si="13"/>
        <v>0.02</v>
      </c>
      <c r="T88" s="43">
        <f t="shared" si="13"/>
        <v>0.73</v>
      </c>
      <c r="U88" s="43">
        <f t="shared" si="13"/>
        <v>13.61</v>
      </c>
      <c r="V88" s="43">
        <f t="shared" si="13"/>
        <v>0</v>
      </c>
      <c r="W88" s="43">
        <f t="shared" si="13"/>
        <v>13.61</v>
      </c>
    </row>
    <row r="89" spans="1:24" s="228" customFormat="1" ht="18.75" customHeight="1">
      <c r="A89" s="229" t="s">
        <v>732</v>
      </c>
      <c r="B89" s="229" t="s">
        <v>398</v>
      </c>
      <c r="C89" s="229"/>
      <c r="D89" s="43">
        <f aca="true" t="shared" si="14" ref="D89:K89">D88+D83+D84+D81+D79+D76+D22</f>
        <v>839.6508831</v>
      </c>
      <c r="E89" s="43">
        <f t="shared" si="14"/>
        <v>79.4934414</v>
      </c>
      <c r="F89" s="43">
        <f t="shared" si="14"/>
        <v>97.7221678</v>
      </c>
      <c r="G89" s="43">
        <f t="shared" si="14"/>
        <v>117.974576</v>
      </c>
      <c r="H89" s="43">
        <f t="shared" si="14"/>
        <v>819.4084749</v>
      </c>
      <c r="I89" s="43">
        <f t="shared" si="14"/>
        <v>55.21</v>
      </c>
      <c r="J89" s="43">
        <f t="shared" si="14"/>
        <v>90.3434414</v>
      </c>
      <c r="K89" s="43">
        <f t="shared" si="14"/>
        <v>66.06</v>
      </c>
      <c r="L89" s="43">
        <f aca="true" t="shared" si="15" ref="L89:W89">L88+L83+L84+L81+L79+L75+L68+L22</f>
        <v>360.42949999999996</v>
      </c>
      <c r="M89" s="43">
        <f t="shared" si="15"/>
        <v>70.96898478000001</v>
      </c>
      <c r="N89" s="43">
        <f t="shared" si="15"/>
        <v>1108.86899012</v>
      </c>
      <c r="O89" s="43">
        <f t="shared" si="15"/>
        <v>66.82133476281999</v>
      </c>
      <c r="P89" s="43">
        <f t="shared" si="15"/>
        <v>116.63344140000001</v>
      </c>
      <c r="Q89" s="43">
        <f t="shared" si="15"/>
        <v>93.71133476281999</v>
      </c>
      <c r="R89" s="43">
        <f t="shared" si="15"/>
        <v>545.8214999999999</v>
      </c>
      <c r="S89" s="43">
        <f t="shared" si="15"/>
        <v>62.68562268</v>
      </c>
      <c r="T89" s="43">
        <f t="shared" si="15"/>
        <v>1592.0048674399998</v>
      </c>
      <c r="U89" s="43">
        <f t="shared" si="15"/>
        <v>93.84156322388162</v>
      </c>
      <c r="V89" s="43">
        <f t="shared" si="15"/>
        <v>143.9034414</v>
      </c>
      <c r="W89" s="43">
        <f t="shared" si="15"/>
        <v>121.11156322388162</v>
      </c>
      <c r="X89" s="262"/>
    </row>
    <row r="90" spans="1:23" ht="10.5" customHeight="1" hidden="1">
      <c r="A90" s="229"/>
      <c r="B90" s="79"/>
      <c r="C90" s="79"/>
      <c r="D90" s="58"/>
      <c r="E90" s="72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79"/>
      <c r="Q90" s="58"/>
      <c r="R90" s="79"/>
      <c r="S90" s="79"/>
      <c r="T90" s="58"/>
      <c r="U90" s="79"/>
      <c r="V90" s="79"/>
      <c r="W90" s="72"/>
    </row>
    <row r="91" spans="1:23" ht="17.25" customHeight="1">
      <c r="A91" s="229" t="s">
        <v>1062</v>
      </c>
      <c r="B91" s="79" t="s">
        <v>812</v>
      </c>
      <c r="C91" s="79"/>
      <c r="D91" s="58"/>
      <c r="E91" s="72"/>
      <c r="F91" s="58"/>
      <c r="G91" s="58"/>
      <c r="H91" s="58"/>
      <c r="I91" s="58">
        <v>8.22</v>
      </c>
      <c r="J91" s="72"/>
      <c r="K91" s="72">
        <v>8.22</v>
      </c>
      <c r="L91" s="58"/>
      <c r="M91" s="58"/>
      <c r="N91" s="58"/>
      <c r="O91" s="58"/>
      <c r="P91" s="72"/>
      <c r="Q91" s="72">
        <f>(Q83+Q84)*0.1</f>
        <v>2.1505456874999997</v>
      </c>
      <c r="R91" s="79"/>
      <c r="S91" s="72"/>
      <c r="T91" s="79"/>
      <c r="U91" s="79"/>
      <c r="V91" s="79"/>
      <c r="W91" s="72">
        <f>(W83+W84)*0.1</f>
        <v>5.481452374999999</v>
      </c>
    </row>
    <row r="92" spans="1:25" ht="7.5" customHeight="1" hidden="1">
      <c r="A92" s="229"/>
      <c r="B92" s="79"/>
      <c r="C92" s="79"/>
      <c r="D92" s="58"/>
      <c r="E92" s="72"/>
      <c r="F92" s="58"/>
      <c r="G92" s="58"/>
      <c r="H92" s="58"/>
      <c r="I92" s="58"/>
      <c r="J92" s="58"/>
      <c r="K92" s="58"/>
      <c r="L92" s="58"/>
      <c r="M92" s="58"/>
      <c r="N92" s="72"/>
      <c r="O92" s="58"/>
      <c r="P92" s="58"/>
      <c r="Q92" s="58"/>
      <c r="R92" s="79"/>
      <c r="S92" s="79"/>
      <c r="T92" s="79"/>
      <c r="U92" s="79"/>
      <c r="V92" s="79"/>
      <c r="W92" s="79"/>
      <c r="Y92" s="157"/>
    </row>
    <row r="93" spans="1:25" s="228" customFormat="1" ht="15" customHeight="1">
      <c r="A93" s="229" t="s">
        <v>47</v>
      </c>
      <c r="B93" s="229" t="s">
        <v>813</v>
      </c>
      <c r="C93" s="43">
        <f>C89-C91</f>
        <v>0</v>
      </c>
      <c r="D93" s="43"/>
      <c r="E93" s="43"/>
      <c r="F93" s="43"/>
      <c r="G93" s="43"/>
      <c r="H93" s="43"/>
      <c r="I93" s="43">
        <f>I89-I91</f>
        <v>46.99</v>
      </c>
      <c r="J93" s="43"/>
      <c r="K93" s="43">
        <f>K89-K91</f>
        <v>57.84</v>
      </c>
      <c r="L93" s="43"/>
      <c r="M93" s="43"/>
      <c r="N93" s="43"/>
      <c r="O93" s="43"/>
      <c r="P93" s="43"/>
      <c r="Q93" s="43">
        <f>Q89-Q91</f>
        <v>91.56078907531999</v>
      </c>
      <c r="R93" s="43"/>
      <c r="S93" s="43"/>
      <c r="T93" s="43"/>
      <c r="U93" s="43">
        <f>U89-U91</f>
        <v>93.84156322388162</v>
      </c>
      <c r="V93" s="43"/>
      <c r="W93" s="43">
        <f>W89-W91</f>
        <v>115.63011084888161</v>
      </c>
      <c r="Y93" s="262"/>
    </row>
    <row r="94" spans="1:23" ht="8.25" customHeight="1" hidden="1">
      <c r="A94" s="229"/>
      <c r="B94" s="79"/>
      <c r="C94" s="79"/>
      <c r="D94" s="58"/>
      <c r="E94" s="58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2"/>
      <c r="T94" s="79"/>
      <c r="U94" s="79"/>
      <c r="V94" s="79"/>
      <c r="W94" s="79"/>
    </row>
    <row r="95" spans="1:23" ht="24" customHeight="1">
      <c r="A95" s="229" t="s">
        <v>1150</v>
      </c>
      <c r="B95" s="251" t="s">
        <v>1149</v>
      </c>
      <c r="C95" s="79"/>
      <c r="D95" s="66">
        <f>D89-D86-D81</f>
        <v>762.7408831</v>
      </c>
      <c r="E95" s="66">
        <f aca="true" t="shared" si="16" ref="E95:W95">E89-E86-E81</f>
        <v>79.4934414</v>
      </c>
      <c r="F95" s="66">
        <f t="shared" si="16"/>
        <v>90.8121678</v>
      </c>
      <c r="G95" s="66">
        <f t="shared" si="16"/>
        <v>117.784576</v>
      </c>
      <c r="H95" s="66">
        <f t="shared" si="16"/>
        <v>735.7784749</v>
      </c>
      <c r="I95" s="66">
        <f t="shared" si="16"/>
        <v>55.21</v>
      </c>
      <c r="J95" s="66">
        <f t="shared" si="16"/>
        <v>90.3434414</v>
      </c>
      <c r="K95" s="66">
        <f t="shared" si="16"/>
        <v>66.06</v>
      </c>
      <c r="L95" s="66">
        <f t="shared" si="16"/>
        <v>351.10949999999997</v>
      </c>
      <c r="M95" s="66">
        <f t="shared" si="16"/>
        <v>69.22898478000002</v>
      </c>
      <c r="N95" s="66">
        <f t="shared" si="16"/>
        <v>1017.65899012</v>
      </c>
      <c r="O95" s="66">
        <f t="shared" si="16"/>
        <v>66.82133476281999</v>
      </c>
      <c r="P95" s="66">
        <f t="shared" si="16"/>
        <v>116.63344140000001</v>
      </c>
      <c r="Q95" s="66">
        <f t="shared" si="16"/>
        <v>93.71133476281999</v>
      </c>
      <c r="R95" s="66">
        <f t="shared" si="16"/>
        <v>543.8214999999999</v>
      </c>
      <c r="S95" s="66">
        <f t="shared" si="16"/>
        <v>59.66562268</v>
      </c>
      <c r="T95" s="66">
        <f t="shared" si="16"/>
        <v>1501.8148674399997</v>
      </c>
      <c r="U95" s="66">
        <f t="shared" si="16"/>
        <v>93.84156322388162</v>
      </c>
      <c r="V95" s="66">
        <f t="shared" si="16"/>
        <v>143.9034414</v>
      </c>
      <c r="W95" s="66">
        <f t="shared" si="16"/>
        <v>121.11156322388162</v>
      </c>
    </row>
    <row r="96" spans="4:19" ht="12.75" hidden="1">
      <c r="D96" s="88"/>
      <c r="E96" s="88"/>
      <c r="S96" s="157"/>
    </row>
    <row r="97" spans="2:19" ht="12.75">
      <c r="B97" s="114" t="s">
        <v>365</v>
      </c>
      <c r="C97" s="296">
        <v>0.0825</v>
      </c>
      <c r="D97" s="114" t="s">
        <v>366</v>
      </c>
      <c r="E97" s="114"/>
      <c r="L97" s="157"/>
      <c r="R97" s="157"/>
      <c r="S97" s="157"/>
    </row>
    <row r="98" spans="2:23" ht="12.75">
      <c r="B98" s="205" t="s">
        <v>1087</v>
      </c>
      <c r="C98" s="296">
        <v>0.11</v>
      </c>
      <c r="D98" s="114" t="s">
        <v>236</v>
      </c>
      <c r="E98" s="114"/>
      <c r="L98" s="272">
        <f>'TRF-2'!K166</f>
        <v>413.07</v>
      </c>
      <c r="P98" s="157" t="s">
        <v>1122</v>
      </c>
      <c r="R98" s="272">
        <f>'TRF-2'!O166</f>
        <v>639.79</v>
      </c>
      <c r="S98" s="157"/>
      <c r="W98" s="157"/>
    </row>
    <row r="99" spans="2:19" ht="12.75">
      <c r="B99" s="205" t="s">
        <v>367</v>
      </c>
      <c r="C99" s="296">
        <v>0.1175</v>
      </c>
      <c r="D99" s="114" t="s">
        <v>236</v>
      </c>
      <c r="E99" s="114"/>
      <c r="S99" s="157"/>
    </row>
    <row r="100" spans="2:19" ht="12.75">
      <c r="B100" s="205" t="s">
        <v>368</v>
      </c>
      <c r="C100" s="296">
        <v>0.1175</v>
      </c>
      <c r="D100" s="114" t="s">
        <v>236</v>
      </c>
      <c r="E100" s="114"/>
      <c r="P100" s="157" t="s">
        <v>1122</v>
      </c>
      <c r="S100" s="157"/>
    </row>
    <row r="101" spans="4:19" ht="12.75">
      <c r="D101" s="88"/>
      <c r="E101" s="88"/>
      <c r="P101" s="157" t="s">
        <v>1122</v>
      </c>
      <c r="S101" s="157"/>
    </row>
    <row r="102" spans="4:23" ht="12.75">
      <c r="D102" s="88"/>
      <c r="E102" s="428"/>
      <c r="H102" s="157"/>
      <c r="J102" s="157"/>
      <c r="K102" s="271"/>
      <c r="Q102" s="428" t="s">
        <v>1122</v>
      </c>
      <c r="S102" s="157"/>
      <c r="W102" s="271"/>
    </row>
    <row r="103" spans="4:19" ht="12.75">
      <c r="D103" s="88"/>
      <c r="E103" s="88"/>
      <c r="H103" s="157"/>
      <c r="I103" s="262"/>
      <c r="J103" s="157"/>
      <c r="K103" s="262"/>
      <c r="M103" s="157"/>
      <c r="P103" s="157" t="s">
        <v>1122</v>
      </c>
      <c r="Q103" s="157"/>
      <c r="S103" s="157"/>
    </row>
    <row r="104" spans="4:19" ht="12.75">
      <c r="D104" s="88"/>
      <c r="E104" s="88"/>
      <c r="I104" s="157"/>
      <c r="J104" s="157"/>
      <c r="K104" s="157"/>
      <c r="Q104" s="157"/>
      <c r="S104" s="157"/>
    </row>
    <row r="105" spans="4:10" ht="12.75">
      <c r="D105" s="88"/>
      <c r="E105" s="88"/>
      <c r="J105" s="157"/>
    </row>
    <row r="106" spans="4:5" ht="12.75">
      <c r="D106" s="88"/>
      <c r="E106" s="88"/>
    </row>
    <row r="107" spans="4:5" ht="12.75">
      <c r="D107" s="88"/>
      <c r="E107" s="88"/>
    </row>
    <row r="108" spans="4:5" ht="12.75">
      <c r="D108" s="88"/>
      <c r="E108" s="88"/>
    </row>
    <row r="109" spans="4:5" ht="12.75">
      <c r="D109" s="88"/>
      <c r="E109" s="88"/>
    </row>
    <row r="110" spans="4:5" ht="12.75">
      <c r="D110" s="88"/>
      <c r="E110" s="88"/>
    </row>
    <row r="111" spans="4:5" ht="12.75">
      <c r="D111" s="88"/>
      <c r="E111" s="88"/>
    </row>
    <row r="112" spans="4:5" ht="12.75">
      <c r="D112" s="88"/>
      <c r="E112" s="88"/>
    </row>
    <row r="113" spans="4:5" ht="12.75">
      <c r="D113" s="88"/>
      <c r="E113" s="88"/>
    </row>
    <row r="114" spans="4:5" ht="12.75">
      <c r="D114" s="88"/>
      <c r="E114" s="88"/>
    </row>
    <row r="115" spans="4:5" ht="12.75">
      <c r="D115" s="88"/>
      <c r="E115" s="88"/>
    </row>
    <row r="116" spans="4:5" ht="12.75">
      <c r="D116" s="88"/>
      <c r="E116" s="88"/>
    </row>
    <row r="117" spans="4:5" ht="12.75">
      <c r="D117" s="88"/>
      <c r="E117" s="88"/>
    </row>
    <row r="118" spans="4:5" ht="12.75">
      <c r="D118" s="88"/>
      <c r="E118" s="88"/>
    </row>
    <row r="119" spans="4:5" ht="12.75">
      <c r="D119" s="88"/>
      <c r="E119" s="88"/>
    </row>
    <row r="120" spans="4:5" ht="12.75">
      <c r="D120" s="88"/>
      <c r="E120" s="88"/>
    </row>
    <row r="121" spans="4:5" ht="12.75">
      <c r="D121" s="88"/>
      <c r="E121" s="88"/>
    </row>
    <row r="122" spans="4:5" ht="12.75">
      <c r="D122" s="88"/>
      <c r="E122" s="88"/>
    </row>
    <row r="123" spans="4:5" ht="12.75">
      <c r="D123" s="88"/>
      <c r="E123" s="88"/>
    </row>
    <row r="124" spans="4:5" ht="12.75">
      <c r="D124" s="88"/>
      <c r="E124" s="88"/>
    </row>
    <row r="125" spans="4:5" ht="12.75">
      <c r="D125" s="88"/>
      <c r="E125" s="88"/>
    </row>
    <row r="126" spans="4:5" ht="12.75">
      <c r="D126" s="88"/>
      <c r="E126" s="88"/>
    </row>
    <row r="127" spans="4:5" ht="12.75">
      <c r="D127" s="88"/>
      <c r="E127" s="88"/>
    </row>
    <row r="128" spans="4:5" ht="12.75">
      <c r="D128" s="88"/>
      <c r="E128" s="88"/>
    </row>
    <row r="129" spans="4:5" ht="12.75">
      <c r="D129" s="88"/>
      <c r="E129" s="88"/>
    </row>
    <row r="130" spans="4:5" ht="12.75">
      <c r="D130" s="88"/>
      <c r="E130" s="88"/>
    </row>
    <row r="131" spans="4:5" ht="12.75">
      <c r="D131" s="88"/>
      <c r="E131" s="88"/>
    </row>
    <row r="132" spans="4:5" ht="12.75">
      <c r="D132" s="88"/>
      <c r="E132" s="88"/>
    </row>
    <row r="133" spans="4:5" ht="12.75">
      <c r="D133" s="88"/>
      <c r="E133" s="88"/>
    </row>
    <row r="134" spans="4:5" ht="12.75">
      <c r="D134" s="88"/>
      <c r="E134" s="88"/>
    </row>
    <row r="135" spans="4:5" ht="12.75">
      <c r="D135" s="88"/>
      <c r="E135" s="88"/>
    </row>
    <row r="136" spans="4:5" ht="12.75">
      <c r="D136" s="88"/>
      <c r="E136" s="88"/>
    </row>
    <row r="137" spans="4:5" ht="12.75">
      <c r="D137" s="88"/>
      <c r="E137" s="88"/>
    </row>
    <row r="138" spans="4:5" ht="12.75">
      <c r="D138" s="88"/>
      <c r="E138" s="88"/>
    </row>
    <row r="139" spans="4:5" ht="12.75">
      <c r="D139" s="88"/>
      <c r="E139" s="88"/>
    </row>
    <row r="140" spans="4:5" ht="12.75">
      <c r="D140" s="88"/>
      <c r="E140" s="88"/>
    </row>
    <row r="141" spans="4:5" ht="12.75">
      <c r="D141" s="88"/>
      <c r="E141" s="88"/>
    </row>
    <row r="142" spans="4:5" ht="12.75">
      <c r="D142" s="88"/>
      <c r="E142" s="88"/>
    </row>
    <row r="143" spans="4:5" ht="12.75">
      <c r="D143" s="88"/>
      <c r="E143" s="88"/>
    </row>
    <row r="144" spans="4:5" ht="12.75">
      <c r="D144" s="88"/>
      <c r="E144" s="88"/>
    </row>
    <row r="145" spans="4:5" ht="12.75">
      <c r="D145" s="88"/>
      <c r="E145" s="88"/>
    </row>
    <row r="146" spans="4:5" ht="12.75">
      <c r="D146" s="88"/>
      <c r="E146" s="88"/>
    </row>
    <row r="147" spans="4:5" ht="12.75">
      <c r="D147" s="88"/>
      <c r="E147" s="88"/>
    </row>
    <row r="148" spans="4:5" ht="12.75">
      <c r="D148" s="88"/>
      <c r="E148" s="88"/>
    </row>
    <row r="149" spans="4:5" ht="12.75">
      <c r="D149" s="88"/>
      <c r="E149" s="88"/>
    </row>
    <row r="150" spans="4:5" ht="12.75">
      <c r="D150" s="88"/>
      <c r="E150" s="88"/>
    </row>
    <row r="151" spans="4:5" ht="12.75">
      <c r="D151" s="88"/>
      <c r="E151" s="88"/>
    </row>
    <row r="152" spans="4:5" ht="12.75">
      <c r="D152" s="88"/>
      <c r="E152" s="88"/>
    </row>
    <row r="153" spans="4:5" ht="12.75">
      <c r="D153" s="88"/>
      <c r="E153" s="88"/>
    </row>
    <row r="154" spans="4:5" ht="12.75">
      <c r="D154" s="88"/>
      <c r="E154" s="88"/>
    </row>
    <row r="155" spans="4:5" ht="12.75">
      <c r="D155" s="88"/>
      <c r="E155" s="88"/>
    </row>
    <row r="156" spans="4:5" ht="12.75">
      <c r="D156" s="88"/>
      <c r="E156" s="88"/>
    </row>
    <row r="157" spans="4:5" ht="12.75">
      <c r="D157" s="88"/>
      <c r="E157" s="88"/>
    </row>
    <row r="158" spans="4:5" ht="12.75">
      <c r="D158" s="88"/>
      <c r="E158" s="88"/>
    </row>
    <row r="159" spans="4:5" ht="12.75">
      <c r="D159" s="88"/>
      <c r="E159" s="88"/>
    </row>
    <row r="160" spans="4:5" ht="12.75">
      <c r="D160" s="88"/>
      <c r="E160" s="88"/>
    </row>
    <row r="161" spans="4:5" ht="12.75">
      <c r="D161" s="88"/>
      <c r="E161" s="88"/>
    </row>
    <row r="162" spans="4:5" ht="12.75">
      <c r="D162" s="88"/>
      <c r="E162" s="88"/>
    </row>
    <row r="163" spans="4:5" ht="12.75">
      <c r="D163" s="88"/>
      <c r="E163" s="88"/>
    </row>
    <row r="164" spans="4:5" ht="12.75">
      <c r="D164" s="88"/>
      <c r="E164" s="88"/>
    </row>
    <row r="165" spans="4:5" ht="12.75">
      <c r="D165" s="88"/>
      <c r="E165" s="88"/>
    </row>
    <row r="166" spans="4:5" ht="12.75">
      <c r="D166" s="88"/>
      <c r="E166" s="88"/>
    </row>
    <row r="167" spans="4:5" ht="12.75">
      <c r="D167" s="88"/>
      <c r="E167" s="88"/>
    </row>
    <row r="168" spans="4:5" ht="12.75">
      <c r="D168" s="88"/>
      <c r="E168" s="88"/>
    </row>
    <row r="169" spans="4:5" ht="12.75">
      <c r="D169" s="88"/>
      <c r="E169" s="88"/>
    </row>
    <row r="170" spans="4:5" ht="12.75">
      <c r="D170" s="88"/>
      <c r="E170" s="88"/>
    </row>
    <row r="171" spans="4:5" ht="12.75">
      <c r="D171" s="88"/>
      <c r="E171" s="88"/>
    </row>
    <row r="172" spans="4:5" ht="12.75">
      <c r="D172" s="88"/>
      <c r="E172" s="88"/>
    </row>
    <row r="173" spans="4:5" ht="12.75">
      <c r="D173" s="88"/>
      <c r="E173" s="88"/>
    </row>
    <row r="174" spans="4:5" ht="12.75">
      <c r="D174" s="88"/>
      <c r="E174" s="88"/>
    </row>
    <row r="175" spans="4:5" ht="12.75">
      <c r="D175" s="88"/>
      <c r="E175" s="88"/>
    </row>
    <row r="176" spans="4:5" ht="12.75">
      <c r="D176" s="88"/>
      <c r="E176" s="88"/>
    </row>
    <row r="177" spans="4:5" ht="12.75">
      <c r="D177" s="88"/>
      <c r="E177" s="88"/>
    </row>
    <row r="178" spans="4:5" ht="12.75">
      <c r="D178" s="88"/>
      <c r="E178" s="88"/>
    </row>
    <row r="179" spans="4:5" ht="12.75">
      <c r="D179" s="88"/>
      <c r="E179" s="88"/>
    </row>
    <row r="180" spans="4:5" ht="12.75">
      <c r="D180" s="88"/>
      <c r="E180" s="88"/>
    </row>
    <row r="181" spans="4:5" ht="12.75">
      <c r="D181" s="88"/>
      <c r="E181" s="88"/>
    </row>
    <row r="182" spans="4:5" ht="12.75">
      <c r="D182" s="88"/>
      <c r="E182" s="88"/>
    </row>
    <row r="183" spans="4:5" ht="12.75">
      <c r="D183" s="88"/>
      <c r="E183" s="88"/>
    </row>
    <row r="184" spans="4:5" ht="12.75">
      <c r="D184" s="88"/>
      <c r="E184" s="88"/>
    </row>
    <row r="185" spans="4:5" ht="12.75">
      <c r="D185" s="88"/>
      <c r="E185" s="88"/>
    </row>
    <row r="186" spans="4:5" ht="12.75">
      <c r="D186" s="88"/>
      <c r="E186" s="88"/>
    </row>
    <row r="187" spans="4:5" ht="12.75">
      <c r="D187" s="88"/>
      <c r="E187" s="88"/>
    </row>
    <row r="188" spans="4:5" ht="12.75">
      <c r="D188" s="88"/>
      <c r="E188" s="88"/>
    </row>
    <row r="189" spans="4:5" ht="12.75">
      <c r="D189" s="88"/>
      <c r="E189" s="88"/>
    </row>
    <row r="190" spans="4:5" ht="12.75">
      <c r="D190" s="88"/>
      <c r="E190" s="88"/>
    </row>
    <row r="191" spans="4:5" ht="12.75">
      <c r="D191" s="88"/>
      <c r="E191" s="88"/>
    </row>
    <row r="192" spans="4:5" ht="12.75">
      <c r="D192" s="88"/>
      <c r="E192" s="88"/>
    </row>
    <row r="193" spans="4:5" ht="12.75">
      <c r="D193" s="88"/>
      <c r="E193" s="88"/>
    </row>
    <row r="194" spans="4:5" ht="12.75">
      <c r="D194" s="88"/>
      <c r="E194" s="88"/>
    </row>
    <row r="195" spans="4:5" ht="12.75">
      <c r="D195" s="88"/>
      <c r="E195" s="88"/>
    </row>
    <row r="196" spans="4:5" ht="12.75">
      <c r="D196" s="88"/>
      <c r="E196" s="88"/>
    </row>
    <row r="197" spans="4:5" ht="12.75">
      <c r="D197" s="88"/>
      <c r="E197" s="88"/>
    </row>
    <row r="198" spans="4:5" ht="12.75">
      <c r="D198" s="88"/>
      <c r="E198" s="88"/>
    </row>
    <row r="199" spans="4:5" ht="12.75">
      <c r="D199" s="88"/>
      <c r="E199" s="88"/>
    </row>
    <row r="200" spans="4:5" ht="12.75">
      <c r="D200" s="88"/>
      <c r="E200" s="88"/>
    </row>
    <row r="201" spans="4:5" ht="12.75">
      <c r="D201" s="88"/>
      <c r="E201" s="88"/>
    </row>
    <row r="202" spans="4:5" ht="12.75">
      <c r="D202" s="88"/>
      <c r="E202" s="88"/>
    </row>
    <row r="203" spans="4:5" ht="12.75">
      <c r="D203" s="88"/>
      <c r="E203" s="88"/>
    </row>
    <row r="204" spans="4:5" ht="12.75">
      <c r="D204" s="88"/>
      <c r="E204" s="88"/>
    </row>
    <row r="205" spans="4:5" ht="12.75">
      <c r="D205" s="88"/>
      <c r="E205" s="88"/>
    </row>
    <row r="206" spans="4:5" ht="12.75">
      <c r="D206" s="88"/>
      <c r="E206" s="88"/>
    </row>
    <row r="207" spans="4:5" ht="12.75">
      <c r="D207" s="88"/>
      <c r="E207" s="88"/>
    </row>
    <row r="208" spans="4:5" ht="12.75">
      <c r="D208" s="88"/>
      <c r="E208" s="88"/>
    </row>
    <row r="209" spans="4:5" ht="12.75">
      <c r="D209" s="88"/>
      <c r="E209" s="88"/>
    </row>
    <row r="210" spans="4:5" ht="12.75">
      <c r="D210" s="88"/>
      <c r="E210" s="88"/>
    </row>
    <row r="211" spans="4:5" ht="12.75">
      <c r="D211" s="88"/>
      <c r="E211" s="88"/>
    </row>
    <row r="212" spans="4:5" ht="12.75">
      <c r="D212" s="88"/>
      <c r="E212" s="88"/>
    </row>
    <row r="213" spans="4:5" ht="12.75">
      <c r="D213" s="88"/>
      <c r="E213" s="88"/>
    </row>
    <row r="214" spans="4:5" ht="12.75">
      <c r="D214" s="88"/>
      <c r="E214" s="88"/>
    </row>
    <row r="215" spans="4:5" ht="12.75">
      <c r="D215" s="88"/>
      <c r="E215" s="88"/>
    </row>
    <row r="216" spans="4:5" ht="12.75">
      <c r="D216" s="88"/>
      <c r="E216" s="88"/>
    </row>
    <row r="217" spans="4:5" ht="12.75">
      <c r="D217" s="88"/>
      <c r="E217" s="88"/>
    </row>
    <row r="218" spans="4:5" ht="12.75">
      <c r="D218" s="88"/>
      <c r="E218" s="88"/>
    </row>
    <row r="219" spans="4:5" ht="12.75">
      <c r="D219" s="88"/>
      <c r="E219" s="88"/>
    </row>
    <row r="220" spans="4:5" ht="12.75">
      <c r="D220" s="88"/>
      <c r="E220" s="88"/>
    </row>
    <row r="221" spans="4:5" ht="12.75">
      <c r="D221" s="88"/>
      <c r="E221" s="88"/>
    </row>
    <row r="222" spans="4:5" ht="12.75">
      <c r="D222" s="88"/>
      <c r="E222" s="88"/>
    </row>
    <row r="223" spans="4:5" ht="12.75">
      <c r="D223" s="88"/>
      <c r="E223" s="88"/>
    </row>
    <row r="224" spans="4:5" ht="12.75">
      <c r="D224" s="88"/>
      <c r="E224" s="88"/>
    </row>
    <row r="225" spans="4:5" ht="12.75">
      <c r="D225" s="88"/>
      <c r="E225" s="88"/>
    </row>
    <row r="226" spans="4:5" ht="12.75">
      <c r="D226" s="88"/>
      <c r="E226" s="88"/>
    </row>
    <row r="227" spans="4:5" ht="12.75">
      <c r="D227" s="88"/>
      <c r="E227" s="88"/>
    </row>
    <row r="228" spans="4:5" ht="12.75">
      <c r="D228" s="88"/>
      <c r="E228" s="88"/>
    </row>
    <row r="229" spans="4:5" ht="12.75">
      <c r="D229" s="88"/>
      <c r="E229" s="88"/>
    </row>
    <row r="230" spans="4:5" ht="12.75">
      <c r="D230" s="88"/>
      <c r="E230" s="88"/>
    </row>
    <row r="231" spans="4:5" ht="12.75">
      <c r="D231" s="88"/>
      <c r="E231" s="88"/>
    </row>
    <row r="232" spans="4:5" ht="12.75">
      <c r="D232" s="88"/>
      <c r="E232" s="88"/>
    </row>
    <row r="233" spans="4:5" ht="12.75">
      <c r="D233" s="88"/>
      <c r="E233" s="88"/>
    </row>
    <row r="234" spans="4:5" ht="12.75">
      <c r="D234" s="88"/>
      <c r="E234" s="88"/>
    </row>
    <row r="235" spans="4:5" ht="12.75">
      <c r="D235" s="88"/>
      <c r="E235" s="88"/>
    </row>
    <row r="236" spans="4:5" ht="12.75">
      <c r="D236" s="88"/>
      <c r="E236" s="88"/>
    </row>
    <row r="237" spans="4:5" ht="12.75">
      <c r="D237" s="88"/>
      <c r="E237" s="88"/>
    </row>
    <row r="238" spans="4:5" ht="12.75">
      <c r="D238" s="88"/>
      <c r="E238" s="88"/>
    </row>
    <row r="239" spans="4:5" ht="12.75">
      <c r="D239" s="88"/>
      <c r="E239" s="88"/>
    </row>
    <row r="240" spans="4:5" ht="12.75">
      <c r="D240" s="88"/>
      <c r="E240" s="88"/>
    </row>
    <row r="241" spans="4:5" ht="12.75">
      <c r="D241" s="88"/>
      <c r="E241" s="88"/>
    </row>
    <row r="242" spans="4:5" ht="12.75">
      <c r="D242" s="88"/>
      <c r="E242" s="88"/>
    </row>
    <row r="243" spans="4:5" ht="12.75">
      <c r="D243" s="88"/>
      <c r="E243" s="88"/>
    </row>
    <row r="244" spans="4:5" ht="12.75">
      <c r="D244" s="88"/>
      <c r="E244" s="88"/>
    </row>
    <row r="245" spans="4:5" ht="12.75">
      <c r="D245" s="88"/>
      <c r="E245" s="88"/>
    </row>
    <row r="246" spans="4:5" ht="12.75">
      <c r="D246" s="88"/>
      <c r="E246" s="88"/>
    </row>
    <row r="247" spans="4:5" ht="12.75">
      <c r="D247" s="88"/>
      <c r="E247" s="88"/>
    </row>
    <row r="248" spans="4:5" ht="12.75">
      <c r="D248" s="88"/>
      <c r="E248" s="88"/>
    </row>
    <row r="249" spans="4:5" ht="12.75">
      <c r="D249" s="88"/>
      <c r="E249" s="88"/>
    </row>
    <row r="250" spans="4:5" ht="12.75">
      <c r="D250" s="88"/>
      <c r="E250" s="88"/>
    </row>
    <row r="251" spans="4:5" ht="12.75">
      <c r="D251" s="88"/>
      <c r="E251" s="88"/>
    </row>
    <row r="252" spans="4:5" ht="12.75">
      <c r="D252" s="88"/>
      <c r="E252" s="88"/>
    </row>
    <row r="253" spans="4:5" ht="12.75">
      <c r="D253" s="88"/>
      <c r="E253" s="88"/>
    </row>
    <row r="254" spans="4:5" ht="12.75">
      <c r="D254" s="88"/>
      <c r="E254" s="88"/>
    </row>
    <row r="255" spans="4:5" ht="12.75">
      <c r="D255" s="88"/>
      <c r="E255" s="88"/>
    </row>
    <row r="256" spans="4:5" ht="12.75">
      <c r="D256" s="88"/>
      <c r="E256" s="88"/>
    </row>
    <row r="257" spans="4:5" ht="12.75">
      <c r="D257" s="88"/>
      <c r="E257" s="88"/>
    </row>
    <row r="258" spans="4:5" ht="12.75">
      <c r="D258" s="88"/>
      <c r="E258" s="88"/>
    </row>
    <row r="259" spans="4:5" ht="12.75">
      <c r="D259" s="88"/>
      <c r="E259" s="88"/>
    </row>
    <row r="260" spans="4:5" ht="12.75">
      <c r="D260" s="88"/>
      <c r="E260" s="88"/>
    </row>
    <row r="261" spans="4:5" ht="12.75">
      <c r="D261" s="88"/>
      <c r="E261" s="88"/>
    </row>
    <row r="262" spans="4:5" ht="12.75">
      <c r="D262" s="88"/>
      <c r="E262" s="88"/>
    </row>
    <row r="263" spans="4:5" ht="12.75">
      <c r="D263" s="88"/>
      <c r="E263" s="88"/>
    </row>
    <row r="264" spans="4:5" ht="12.75">
      <c r="D264" s="88"/>
      <c r="E264" s="88"/>
    </row>
    <row r="265" spans="4:5" ht="12.75">
      <c r="D265" s="88"/>
      <c r="E265" s="88"/>
    </row>
    <row r="266" spans="4:5" ht="12.75">
      <c r="D266" s="88"/>
      <c r="E266" s="88"/>
    </row>
    <row r="267" spans="4:5" ht="12.75">
      <c r="D267" s="88"/>
      <c r="E267" s="88"/>
    </row>
    <row r="268" spans="4:5" ht="12.75">
      <c r="D268" s="88"/>
      <c r="E268" s="88"/>
    </row>
    <row r="269" spans="4:5" ht="12.75">
      <c r="D269" s="88"/>
      <c r="E269" s="88"/>
    </row>
    <row r="270" spans="4:5" ht="12.75">
      <c r="D270" s="88"/>
      <c r="E270" s="88"/>
    </row>
    <row r="271" spans="4:5" ht="12.75">
      <c r="D271" s="88"/>
      <c r="E271" s="88"/>
    </row>
    <row r="272" spans="4:5" ht="12.75">
      <c r="D272" s="88"/>
      <c r="E272" s="88"/>
    </row>
    <row r="273" spans="4:5" ht="12.75">
      <c r="D273" s="88"/>
      <c r="E273" s="88"/>
    </row>
    <row r="274" spans="4:5" ht="12.75">
      <c r="D274" s="88"/>
      <c r="E274" s="88"/>
    </row>
    <row r="275" spans="4:5" ht="12.75">
      <c r="D275" s="88"/>
      <c r="E275" s="88"/>
    </row>
    <row r="276" spans="4:5" ht="12.75">
      <c r="D276" s="88"/>
      <c r="E276" s="88"/>
    </row>
    <row r="277" spans="4:5" ht="12.75">
      <c r="D277" s="88"/>
      <c r="E277" s="88"/>
    </row>
    <row r="278" spans="4:5" ht="12.75">
      <c r="D278" s="88"/>
      <c r="E278" s="88"/>
    </row>
    <row r="279" spans="4:5" ht="12.75">
      <c r="D279" s="88"/>
      <c r="E279" s="88"/>
    </row>
    <row r="280" spans="4:5" ht="12.75">
      <c r="D280" s="88"/>
      <c r="E280" s="88"/>
    </row>
    <row r="281" spans="4:5" ht="12.75">
      <c r="D281" s="88"/>
      <c r="E281" s="88"/>
    </row>
    <row r="282" spans="4:5" ht="12.75">
      <c r="D282" s="88"/>
      <c r="E282" s="88"/>
    </row>
    <row r="283" spans="4:5" ht="12.75">
      <c r="D283" s="88"/>
      <c r="E283" s="88"/>
    </row>
    <row r="284" spans="4:5" ht="12.75">
      <c r="D284" s="88"/>
      <c r="E284" s="88"/>
    </row>
    <row r="285" spans="4:5" ht="12.75">
      <c r="D285" s="88"/>
      <c r="E285" s="88"/>
    </row>
    <row r="286" spans="4:5" ht="12.75">
      <c r="D286" s="88"/>
      <c r="E286" s="88"/>
    </row>
    <row r="287" spans="4:5" ht="12.75">
      <c r="D287" s="88"/>
      <c r="E287" s="88"/>
    </row>
    <row r="288" spans="4:5" ht="12.75">
      <c r="D288" s="88"/>
      <c r="E288" s="88"/>
    </row>
    <row r="289" spans="4:5" ht="12.75">
      <c r="D289" s="88"/>
      <c r="E289" s="88"/>
    </row>
    <row r="290" spans="4:5" ht="12.75">
      <c r="D290" s="88"/>
      <c r="E290" s="88"/>
    </row>
    <row r="291" spans="4:5" ht="12.75">
      <c r="D291" s="88"/>
      <c r="E291" s="88"/>
    </row>
    <row r="292" spans="4:5" ht="12.75">
      <c r="D292" s="88"/>
      <c r="E292" s="88"/>
    </row>
    <row r="293" spans="4:5" ht="12.75">
      <c r="D293" s="88"/>
      <c r="E293" s="88"/>
    </row>
    <row r="294" spans="4:5" ht="12.75">
      <c r="D294" s="88"/>
      <c r="E294" s="88"/>
    </row>
    <row r="295" spans="4:5" ht="12.75">
      <c r="D295" s="88"/>
      <c r="E295" s="88"/>
    </row>
    <row r="296" spans="4:5" ht="12.75">
      <c r="D296" s="88"/>
      <c r="E296" s="88"/>
    </row>
    <row r="297" spans="4:5" ht="12.75">
      <c r="D297" s="88"/>
      <c r="E297" s="88"/>
    </row>
    <row r="298" spans="4:5" ht="12.75">
      <c r="D298" s="88"/>
      <c r="E298" s="88"/>
    </row>
    <row r="299" spans="4:5" ht="12.75">
      <c r="D299" s="88"/>
      <c r="E299" s="88"/>
    </row>
    <row r="300" spans="4:5" ht="12.75">
      <c r="D300" s="88"/>
      <c r="E300" s="88"/>
    </row>
    <row r="301" spans="4:5" ht="12.75">
      <c r="D301" s="88"/>
      <c r="E301" s="88"/>
    </row>
    <row r="302" spans="4:5" ht="12.75">
      <c r="D302" s="88"/>
      <c r="E302" s="88"/>
    </row>
    <row r="303" spans="4:5" ht="12.75">
      <c r="D303" s="88"/>
      <c r="E303" s="88"/>
    </row>
    <row r="304" spans="4:5" ht="12.75">
      <c r="D304" s="88"/>
      <c r="E304" s="88"/>
    </row>
    <row r="305" spans="4:5" ht="12.75">
      <c r="D305" s="88"/>
      <c r="E305" s="88"/>
    </row>
    <row r="306" spans="4:5" ht="12.75">
      <c r="D306" s="88"/>
      <c r="E306" s="88"/>
    </row>
    <row r="307" spans="4:5" ht="12.75">
      <c r="D307" s="88"/>
      <c r="E307" s="88"/>
    </row>
    <row r="308" spans="4:5" ht="12.75">
      <c r="D308" s="88"/>
      <c r="E308" s="88"/>
    </row>
    <row r="309" spans="4:5" ht="12.75">
      <c r="D309" s="88"/>
      <c r="E309" s="88"/>
    </row>
    <row r="310" spans="4:5" ht="12.75">
      <c r="D310" s="88"/>
      <c r="E310" s="88"/>
    </row>
    <row r="311" spans="4:5" ht="12.75">
      <c r="D311" s="88"/>
      <c r="E311" s="88"/>
    </row>
    <row r="312" spans="4:5" ht="12.75">
      <c r="D312" s="88"/>
      <c r="E312" s="88"/>
    </row>
    <row r="313" spans="4:5" ht="12.75">
      <c r="D313" s="88"/>
      <c r="E313" s="88"/>
    </row>
    <row r="314" spans="4:5" ht="12.75">
      <c r="D314" s="88"/>
      <c r="E314" s="88"/>
    </row>
    <row r="315" spans="4:5" ht="12.75">
      <c r="D315" s="88"/>
      <c r="E315" s="88"/>
    </row>
    <row r="316" spans="4:5" ht="12.75">
      <c r="D316" s="88"/>
      <c r="E316" s="88"/>
    </row>
    <row r="317" spans="4:5" ht="12.75">
      <c r="D317" s="88"/>
      <c r="E317" s="88"/>
    </row>
    <row r="318" spans="4:5" ht="12.75">
      <c r="D318" s="88"/>
      <c r="E318" s="88"/>
    </row>
    <row r="319" spans="4:5" ht="12.75">
      <c r="D319" s="88"/>
      <c r="E319" s="88"/>
    </row>
    <row r="320" spans="4:5" ht="12.75">
      <c r="D320" s="88"/>
      <c r="E320" s="88"/>
    </row>
    <row r="321" spans="4:5" ht="12.75">
      <c r="D321" s="88"/>
      <c r="E321" s="88"/>
    </row>
    <row r="322" spans="4:5" ht="12.75">
      <c r="D322" s="88"/>
      <c r="E322" s="88"/>
    </row>
    <row r="323" spans="4:5" ht="12.75">
      <c r="D323" s="88"/>
      <c r="E323" s="88"/>
    </row>
    <row r="324" spans="4:5" ht="12.75">
      <c r="D324" s="88"/>
      <c r="E324" s="88"/>
    </row>
    <row r="325" spans="4:5" ht="12.75">
      <c r="D325" s="88"/>
      <c r="E325" s="88"/>
    </row>
    <row r="326" spans="4:5" ht="12.75">
      <c r="D326" s="88"/>
      <c r="E326" s="88"/>
    </row>
    <row r="327" spans="4:5" ht="12.75">
      <c r="D327" s="88"/>
      <c r="E327" s="88"/>
    </row>
    <row r="328" spans="4:5" ht="12.75">
      <c r="D328" s="88"/>
      <c r="E328" s="88"/>
    </row>
    <row r="329" spans="4:5" ht="12.75">
      <c r="D329" s="88"/>
      <c r="E329" s="88"/>
    </row>
    <row r="330" spans="4:5" ht="12.75">
      <c r="D330" s="88"/>
      <c r="E330" s="88"/>
    </row>
    <row r="331" spans="4:5" ht="12.75">
      <c r="D331" s="88"/>
      <c r="E331" s="88"/>
    </row>
    <row r="332" spans="4:5" ht="12.75">
      <c r="D332" s="88"/>
      <c r="E332" s="88"/>
    </row>
    <row r="333" spans="4:5" ht="12.75">
      <c r="D333" s="88"/>
      <c r="E333" s="88"/>
    </row>
    <row r="334" spans="4:5" ht="12.75">
      <c r="D334" s="88"/>
      <c r="E334" s="88"/>
    </row>
    <row r="335" spans="4:5" ht="12.75">
      <c r="D335" s="88"/>
      <c r="E335" s="88"/>
    </row>
    <row r="336" spans="4:5" ht="12.75">
      <c r="D336" s="88"/>
      <c r="E336" s="88"/>
    </row>
    <row r="337" spans="4:5" ht="12.75">
      <c r="D337" s="88"/>
      <c r="E337" s="88"/>
    </row>
    <row r="338" spans="4:5" ht="12.75">
      <c r="D338" s="88"/>
      <c r="E338" s="88"/>
    </row>
    <row r="339" spans="4:5" ht="12.75">
      <c r="D339" s="88"/>
      <c r="E339" s="88"/>
    </row>
    <row r="340" spans="4:5" ht="12.75">
      <c r="D340" s="88"/>
      <c r="E340" s="88"/>
    </row>
    <row r="341" spans="4:5" ht="12.75">
      <c r="D341" s="88"/>
      <c r="E341" s="88"/>
    </row>
    <row r="342" spans="4:5" ht="12.75">
      <c r="D342" s="88"/>
      <c r="E342" s="88"/>
    </row>
    <row r="343" spans="4:5" ht="12.75">
      <c r="D343" s="88"/>
      <c r="E343" s="88"/>
    </row>
    <row r="344" spans="4:5" ht="12.75">
      <c r="D344" s="88"/>
      <c r="E344" s="88"/>
    </row>
    <row r="345" spans="4:5" ht="12.75">
      <c r="D345" s="88"/>
      <c r="E345" s="88"/>
    </row>
    <row r="346" spans="4:5" ht="12.75">
      <c r="D346" s="88"/>
      <c r="E346" s="88"/>
    </row>
    <row r="347" spans="4:5" ht="12.75">
      <c r="D347" s="88"/>
      <c r="E347" s="88"/>
    </row>
    <row r="348" spans="4:5" ht="12.75">
      <c r="D348" s="88"/>
      <c r="E348" s="88"/>
    </row>
    <row r="349" spans="4:5" ht="12.75">
      <c r="D349" s="88"/>
      <c r="E349" s="88"/>
    </row>
    <row r="350" spans="4:5" ht="12.75">
      <c r="D350" s="88"/>
      <c r="E350" s="88"/>
    </row>
    <row r="351" spans="4:5" ht="12.75">
      <c r="D351" s="88"/>
      <c r="E351" s="88"/>
    </row>
    <row r="352" spans="4:5" ht="12.75">
      <c r="D352" s="88"/>
      <c r="E352" s="88"/>
    </row>
    <row r="353" spans="4:5" ht="12.75">
      <c r="D353" s="88"/>
      <c r="E353" s="88"/>
    </row>
    <row r="354" spans="4:5" ht="12.75">
      <c r="D354" s="88"/>
      <c r="E354" s="88"/>
    </row>
    <row r="355" spans="4:5" ht="12.75">
      <c r="D355" s="88"/>
      <c r="E355" s="88"/>
    </row>
    <row r="356" spans="4:5" ht="12.75">
      <c r="D356" s="88"/>
      <c r="E356" s="88"/>
    </row>
    <row r="357" spans="4:5" ht="12.75">
      <c r="D357" s="88"/>
      <c r="E357" s="88"/>
    </row>
    <row r="358" spans="4:5" ht="12.75">
      <c r="D358" s="88"/>
      <c r="E358" s="88"/>
    </row>
    <row r="359" spans="4:5" ht="12.75">
      <c r="D359" s="88"/>
      <c r="E359" s="88"/>
    </row>
    <row r="360" spans="4:5" ht="12.75">
      <c r="D360" s="88"/>
      <c r="E360" s="88"/>
    </row>
    <row r="361" spans="4:5" ht="12.75">
      <c r="D361" s="88"/>
      <c r="E361" s="88"/>
    </row>
    <row r="362" spans="4:5" ht="12.75">
      <c r="D362" s="88"/>
      <c r="E362" s="88"/>
    </row>
    <row r="363" spans="4:5" ht="12.75">
      <c r="D363" s="88"/>
      <c r="E363" s="88"/>
    </row>
    <row r="364" spans="4:5" ht="12.75">
      <c r="D364" s="88"/>
      <c r="E364" s="88"/>
    </row>
    <row r="365" spans="4:5" ht="12.75">
      <c r="D365" s="88"/>
      <c r="E365" s="88"/>
    </row>
    <row r="366" spans="4:5" ht="12.75">
      <c r="D366" s="88"/>
      <c r="E366" s="88"/>
    </row>
    <row r="367" spans="4:5" ht="12.75">
      <c r="D367" s="88"/>
      <c r="E367" s="88"/>
    </row>
    <row r="368" spans="4:5" ht="12.75">
      <c r="D368" s="88"/>
      <c r="E368" s="88"/>
    </row>
    <row r="369" spans="4:5" ht="12.75">
      <c r="D369" s="88"/>
      <c r="E369" s="88"/>
    </row>
    <row r="370" spans="4:5" ht="12.75">
      <c r="D370" s="88"/>
      <c r="E370" s="88"/>
    </row>
    <row r="371" spans="4:5" ht="12.75">
      <c r="D371" s="88"/>
      <c r="E371" s="88"/>
    </row>
    <row r="372" spans="4:5" ht="12.75">
      <c r="D372" s="88"/>
      <c r="E372" s="88"/>
    </row>
    <row r="373" spans="4:5" ht="12.75">
      <c r="D373" s="88"/>
      <c r="E373" s="88"/>
    </row>
    <row r="374" spans="4:5" ht="12.75">
      <c r="D374" s="88"/>
      <c r="E374" s="88"/>
    </row>
    <row r="375" spans="4:5" ht="12.75">
      <c r="D375" s="88"/>
      <c r="E375" s="88"/>
    </row>
    <row r="376" spans="4:5" ht="12.75">
      <c r="D376" s="88"/>
      <c r="E376" s="88"/>
    </row>
    <row r="377" spans="4:5" ht="12.75">
      <c r="D377" s="88"/>
      <c r="E377" s="88"/>
    </row>
    <row r="378" spans="4:5" ht="12.75">
      <c r="D378" s="88"/>
      <c r="E378" s="88"/>
    </row>
    <row r="379" spans="4:5" ht="12.75">
      <c r="D379" s="88"/>
      <c r="E379" s="88"/>
    </row>
    <row r="380" spans="4:5" ht="12.75">
      <c r="D380" s="88"/>
      <c r="E380" s="88"/>
    </row>
    <row r="381" spans="4:5" ht="12.75">
      <c r="D381" s="88"/>
      <c r="E381" s="88"/>
    </row>
    <row r="382" spans="4:5" ht="12.75">
      <c r="D382" s="88"/>
      <c r="E382" s="88"/>
    </row>
    <row r="383" spans="4:5" ht="12.75">
      <c r="D383" s="88"/>
      <c r="E383" s="88"/>
    </row>
    <row r="384" spans="4:5" ht="12.75">
      <c r="D384" s="88"/>
      <c r="E384" s="88"/>
    </row>
    <row r="385" spans="4:5" ht="12.75">
      <c r="D385" s="88"/>
      <c r="E385" s="88"/>
    </row>
    <row r="386" spans="4:5" ht="12.75">
      <c r="D386" s="88"/>
      <c r="E386" s="88"/>
    </row>
    <row r="387" spans="4:5" ht="12.75">
      <c r="D387" s="88"/>
      <c r="E387" s="88"/>
    </row>
    <row r="388" spans="4:5" ht="12.75">
      <c r="D388" s="88"/>
      <c r="E388" s="88"/>
    </row>
    <row r="389" spans="4:5" ht="12.75">
      <c r="D389" s="88"/>
      <c r="E389" s="88"/>
    </row>
    <row r="390" spans="4:5" ht="12.75">
      <c r="D390" s="88"/>
      <c r="E390" s="88"/>
    </row>
    <row r="391" spans="4:5" ht="12.75">
      <c r="D391" s="88"/>
      <c r="E391" s="88"/>
    </row>
    <row r="392" spans="4:5" ht="12.75">
      <c r="D392" s="88"/>
      <c r="E392" s="88"/>
    </row>
    <row r="393" spans="4:5" ht="12.75">
      <c r="D393" s="88"/>
      <c r="E393" s="88"/>
    </row>
    <row r="394" spans="4:5" ht="12.75">
      <c r="D394" s="88"/>
      <c r="E394" s="88"/>
    </row>
    <row r="395" spans="4:5" ht="12.75">
      <c r="D395" s="88"/>
      <c r="E395" s="88"/>
    </row>
    <row r="396" spans="4:5" ht="12.75">
      <c r="D396" s="88"/>
      <c r="E396" s="88"/>
    </row>
  </sheetData>
  <sheetProtection/>
  <mergeCells count="14">
    <mergeCell ref="A2:C2"/>
    <mergeCell ref="F13:K13"/>
    <mergeCell ref="F14:H14"/>
    <mergeCell ref="I14:J14"/>
    <mergeCell ref="K14:K15"/>
    <mergeCell ref="D13:E14"/>
    <mergeCell ref="L13:Q13"/>
    <mergeCell ref="L14:N14"/>
    <mergeCell ref="O14:P14"/>
    <mergeCell ref="Q14:Q15"/>
    <mergeCell ref="R13:W13"/>
    <mergeCell ref="R14:T14"/>
    <mergeCell ref="U14:V14"/>
    <mergeCell ref="W14:W15"/>
  </mergeCells>
  <printOptions/>
  <pageMargins left="0.17" right="0.17" top="0.21" bottom="0.2" header="0.17" footer="0.17"/>
  <pageSetup horizontalDpi="300" verticalDpi="300" orientation="landscape" paperSize="9" scale="61" r:id="rId1"/>
  <headerFooter alignWithMargins="0">
    <oddHeader>&amp;R]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zoomScalePageLayoutView="0" workbookViewId="0" topLeftCell="A13">
      <selection activeCell="N24" sqref="N24"/>
    </sheetView>
  </sheetViews>
  <sheetFormatPr defaultColWidth="14.7109375" defaultRowHeight="12.75"/>
  <cols>
    <col min="1" max="1" width="5.7109375" style="4" customWidth="1"/>
    <col min="2" max="2" width="47.140625" style="4" customWidth="1"/>
    <col min="3" max="3" width="10.421875" style="4" customWidth="1"/>
    <col min="4" max="5" width="15.7109375" style="4" hidden="1" customWidth="1"/>
    <col min="6" max="6" width="10.421875" style="4" hidden="1" customWidth="1"/>
    <col min="7" max="7" width="13.7109375" style="4" hidden="1" customWidth="1"/>
    <col min="8" max="8" width="13.140625" style="4" hidden="1" customWidth="1"/>
    <col min="9" max="9" width="12.7109375" style="4" hidden="1" customWidth="1"/>
    <col min="10" max="10" width="11.8515625" style="4" customWidth="1"/>
    <col min="11" max="12" width="12.00390625" style="4" customWidth="1"/>
    <col min="13" max="16384" width="14.7109375" style="4" customWidth="1"/>
  </cols>
  <sheetData>
    <row r="1" spans="1:4" s="220" customFormat="1" ht="15.75">
      <c r="A1" s="18" t="s">
        <v>1398</v>
      </c>
      <c r="D1" s="4"/>
    </row>
    <row r="2" spans="1:4" s="220" customFormat="1" ht="15.75">
      <c r="A2" s="68"/>
      <c r="D2" s="31"/>
    </row>
    <row r="3" spans="1:10" ht="15.75">
      <c r="A3" s="561" t="s">
        <v>1100</v>
      </c>
      <c r="B3" s="561"/>
      <c r="C3" s="561"/>
      <c r="J3" s="86" t="s">
        <v>804</v>
      </c>
    </row>
    <row r="4" ht="15.75">
      <c r="A4" s="5"/>
    </row>
    <row r="5" spans="1:2" ht="15.75">
      <c r="A5" s="9"/>
      <c r="B5" s="25" t="s">
        <v>1350</v>
      </c>
    </row>
    <row r="6" spans="1:10" ht="15.75">
      <c r="A6" s="9"/>
      <c r="B6" s="25" t="s">
        <v>1351</v>
      </c>
      <c r="J6" s="154" t="s">
        <v>598</v>
      </c>
    </row>
    <row r="7" spans="1:8" ht="15.75">
      <c r="A7" s="9"/>
      <c r="B7" s="25" t="s">
        <v>1352</v>
      </c>
      <c r="G7" s="154"/>
      <c r="H7" s="154"/>
    </row>
    <row r="8" ht="12.75">
      <c r="A8" s="9"/>
    </row>
    <row r="9" spans="1:12" s="57" customFormat="1" ht="27" customHeight="1">
      <c r="A9" s="19" t="s">
        <v>161</v>
      </c>
      <c r="B9" s="10" t="s">
        <v>964</v>
      </c>
      <c r="C9" s="10" t="s">
        <v>162</v>
      </c>
      <c r="D9" s="221" t="s">
        <v>908</v>
      </c>
      <c r="E9" s="221" t="s">
        <v>178</v>
      </c>
      <c r="F9" s="221" t="s">
        <v>436</v>
      </c>
      <c r="G9" s="221" t="s">
        <v>989</v>
      </c>
      <c r="H9" s="221" t="s">
        <v>978</v>
      </c>
      <c r="I9" s="221" t="s">
        <v>1312</v>
      </c>
      <c r="J9" s="221" t="s">
        <v>242</v>
      </c>
      <c r="K9" s="221" t="s">
        <v>1307</v>
      </c>
      <c r="L9" s="221" t="s">
        <v>1307</v>
      </c>
    </row>
    <row r="10" spans="1:12" ht="12.75">
      <c r="A10" s="7"/>
      <c r="B10" s="7"/>
      <c r="C10" s="7"/>
      <c r="D10" s="42"/>
      <c r="E10" s="42"/>
      <c r="F10" s="42"/>
      <c r="G10" s="7"/>
      <c r="H10" s="7"/>
      <c r="I10" s="7"/>
      <c r="J10" s="7"/>
      <c r="K10" s="7"/>
      <c r="L10" s="7"/>
    </row>
    <row r="11" spans="1:12" ht="12.75">
      <c r="A11" s="7">
        <v>1</v>
      </c>
      <c r="B11" s="7" t="s">
        <v>402</v>
      </c>
      <c r="C11" s="7" t="s">
        <v>163</v>
      </c>
      <c r="D11" s="64">
        <f>'TRF-6'!D29</f>
        <v>0</v>
      </c>
      <c r="E11" s="43">
        <f>'TRF-6'!E29</f>
        <v>0</v>
      </c>
      <c r="F11" s="43">
        <f>'TRF-6'!F29</f>
        <v>0</v>
      </c>
      <c r="G11" s="43">
        <f>'TRF-6'!H29</f>
        <v>0</v>
      </c>
      <c r="H11" s="43">
        <f>'TRF-6'!I29</f>
        <v>0</v>
      </c>
      <c r="I11" s="43">
        <f>'TRF-6'!J29</f>
        <v>0</v>
      </c>
      <c r="J11" s="43">
        <f>'TRF-6'!K29</f>
        <v>0</v>
      </c>
      <c r="K11" s="43">
        <f>'TRF-6'!L29</f>
        <v>0</v>
      </c>
      <c r="L11" s="43">
        <f>'TRF-6'!M29</f>
        <v>0</v>
      </c>
    </row>
    <row r="12" spans="1:12" ht="12.75">
      <c r="A12" s="7"/>
      <c r="B12" s="7"/>
      <c r="C12" s="7"/>
      <c r="D12" s="65"/>
      <c r="E12" s="42"/>
      <c r="F12" s="42"/>
      <c r="G12" s="42"/>
      <c r="H12" s="42"/>
      <c r="I12" s="42"/>
      <c r="J12" s="42"/>
      <c r="K12" s="42"/>
      <c r="L12" s="42"/>
    </row>
    <row r="13" spans="1:12" ht="12.75">
      <c r="A13" s="7">
        <v>2</v>
      </c>
      <c r="B13" s="7" t="s">
        <v>164</v>
      </c>
      <c r="C13" s="7" t="s">
        <v>163</v>
      </c>
      <c r="D13" s="65" t="e">
        <f>SUM('TRF-6'!D31:D49)</f>
        <v>#REF!</v>
      </c>
      <c r="E13" s="42" t="e">
        <f>'TRF-6'!E52</f>
        <v>#REF!</v>
      </c>
      <c r="F13" s="42" t="e">
        <f>'TRF-6'!F52</f>
        <v>#REF!</v>
      </c>
      <c r="G13" s="42">
        <f>'TRF-6'!G52</f>
        <v>735.0478827486726</v>
      </c>
      <c r="H13" s="42">
        <f>'TRF-6'!H52</f>
        <v>517.2034522</v>
      </c>
      <c r="I13" s="42">
        <f>'TRF-6'!I52</f>
        <v>490.89696119999996</v>
      </c>
      <c r="J13" s="42">
        <f>'TRF-5'!J34+'TRF-5'!J46+'TRF-5'!J54-'TRF-5'!J56</f>
        <v>536.6143048000001</v>
      </c>
      <c r="K13" s="42">
        <f>'TRF-5'!K34+'TRF-5'!K46+'TRF-5'!K54-'TRF-5'!K56</f>
        <v>683.21947976282</v>
      </c>
      <c r="L13" s="42">
        <f>'TRF-5'!L57</f>
        <v>862.7516304717872</v>
      </c>
    </row>
    <row r="14" spans="1:12" ht="12.75">
      <c r="A14" s="7"/>
      <c r="B14" s="7"/>
      <c r="C14" s="7"/>
      <c r="D14" s="65"/>
      <c r="E14" s="42"/>
      <c r="F14" s="42"/>
      <c r="G14" s="42"/>
      <c r="H14" s="42"/>
      <c r="I14" s="42"/>
      <c r="J14" s="42"/>
      <c r="K14" s="42"/>
      <c r="L14" s="42"/>
    </row>
    <row r="15" spans="1:12" ht="12.75">
      <c r="A15" s="7">
        <v>3</v>
      </c>
      <c r="B15" s="7" t="s">
        <v>1086</v>
      </c>
      <c r="C15" s="7" t="s">
        <v>166</v>
      </c>
      <c r="D15" s="65">
        <f>13473.71*100/(100-4.43)</f>
        <v>14098.263053259392</v>
      </c>
      <c r="E15" s="42">
        <f>'MU Handled '!H8/(100-E23)*100</f>
        <v>15745.802567708333</v>
      </c>
      <c r="F15" s="42">
        <f>'MU Handled '!L8/(100-F23)*100</f>
        <v>18116.378947368423</v>
      </c>
      <c r="G15" s="42">
        <f>('MU Handled '!N8)/(100-G23)*100</f>
        <v>19675.52879581152</v>
      </c>
      <c r="H15" s="42">
        <f>'MU Handled '!P8/(100)*100</f>
        <v>19534.38</v>
      </c>
      <c r="I15" s="42">
        <f>'MU Handled '!S8/(100)*100</f>
        <v>21138.88</v>
      </c>
      <c r="J15" s="42">
        <f>'MU Handled '!U8/(100)*100</f>
        <v>21257.427120000004</v>
      </c>
      <c r="K15" s="42">
        <f>'MU Handled '!W8/(100)*100</f>
        <v>22424.913718</v>
      </c>
      <c r="L15" s="42">
        <f>'MU Handled '!Y8</f>
        <v>25125</v>
      </c>
    </row>
    <row r="16" spans="1:12" ht="12.75">
      <c r="A16" s="7"/>
      <c r="B16" s="7"/>
      <c r="C16" s="7"/>
      <c r="D16" s="65"/>
      <c r="E16" s="42"/>
      <c r="F16" s="42"/>
      <c r="G16" s="42"/>
      <c r="H16" s="42"/>
      <c r="I16" s="42"/>
      <c r="J16" s="42"/>
      <c r="K16" s="42"/>
      <c r="L16" s="42"/>
    </row>
    <row r="17" spans="1:12" ht="12.75">
      <c r="A17" s="7">
        <v>4</v>
      </c>
      <c r="B17" s="7" t="s">
        <v>930</v>
      </c>
      <c r="C17" s="7"/>
      <c r="D17" s="65">
        <f>71.67*100/(100-4.43)</f>
        <v>74.99215234906352</v>
      </c>
      <c r="E17" s="42">
        <f>'MU Handled '!H9/(100-E23)*100</f>
        <v>16.625</v>
      </c>
      <c r="F17" s="42">
        <f>'MU Handled '!L9/(100-F23)*100</f>
        <v>92.05263157894737</v>
      </c>
      <c r="G17" s="42">
        <f>('MU Handled '!N9)/(100-G23)*100</f>
        <v>187.70680628272248</v>
      </c>
      <c r="H17" s="42">
        <f>'MU Handled '!P9/(100-H23)*100</f>
        <v>287.85340314136124</v>
      </c>
      <c r="I17" s="42">
        <f>'MU Handled '!S9/(100-I23)*100</f>
        <v>357.03239289446185</v>
      </c>
      <c r="J17" s="42">
        <f>'MU Handled '!U9+'MU Handled '!U11</f>
        <v>579.725246</v>
      </c>
      <c r="K17" s="42">
        <f>'MU Handled '!W9+'MU Handled '!W11</f>
        <v>618.889688</v>
      </c>
      <c r="L17" s="42">
        <f>'MU Handled '!Y9+'MU Handled '!Y11</f>
        <v>412</v>
      </c>
    </row>
    <row r="18" spans="1:12" ht="12.75">
      <c r="A18" s="7"/>
      <c r="B18" s="7"/>
      <c r="C18" s="7"/>
      <c r="D18" s="65"/>
      <c r="E18" s="42"/>
      <c r="F18" s="42"/>
      <c r="G18" s="42"/>
      <c r="H18" s="42"/>
      <c r="I18" s="42"/>
      <c r="J18" s="42"/>
      <c r="K18" s="42"/>
      <c r="L18" s="42"/>
    </row>
    <row r="19" spans="1:12" ht="12.75">
      <c r="A19" s="7">
        <v>5</v>
      </c>
      <c r="B19" s="7" t="s">
        <v>243</v>
      </c>
      <c r="C19" s="7" t="s">
        <v>166</v>
      </c>
      <c r="D19" s="65">
        <v>41.14</v>
      </c>
      <c r="E19" s="42">
        <f>'MU Handled '!H11+'MU Handled '!H12</f>
        <v>1071.128833</v>
      </c>
      <c r="F19" s="42">
        <f>'MU Handled '!L11+'MU Handled '!L12</f>
        <v>900.49</v>
      </c>
      <c r="G19" s="42">
        <f>'MU Handled '!N12</f>
        <v>33.74</v>
      </c>
      <c r="H19" s="42">
        <f>'MU Handled '!P12</f>
        <v>622.49</v>
      </c>
      <c r="I19" s="42">
        <f>'MU Handled '!S12</f>
        <v>30</v>
      </c>
      <c r="J19" s="42">
        <f>'MU Handled '!U12</f>
        <v>450.178982</v>
      </c>
      <c r="K19" s="42">
        <f>'MU Handled '!W12</f>
        <v>0</v>
      </c>
      <c r="L19" s="42">
        <f>'MU Handled '!Y12</f>
        <v>0</v>
      </c>
    </row>
    <row r="20" spans="1:12" ht="12.75">
      <c r="A20" s="7"/>
      <c r="B20" s="7"/>
      <c r="C20" s="7"/>
      <c r="D20" s="65"/>
      <c r="E20" s="42"/>
      <c r="F20" s="42"/>
      <c r="G20" s="42"/>
      <c r="H20" s="42"/>
      <c r="I20" s="42"/>
      <c r="J20" s="42"/>
      <c r="K20" s="42"/>
      <c r="L20" s="42"/>
    </row>
    <row r="21" spans="1:12" ht="12.75">
      <c r="A21" s="7">
        <v>6</v>
      </c>
      <c r="B21" s="7" t="s">
        <v>165</v>
      </c>
      <c r="C21" s="7" t="s">
        <v>166</v>
      </c>
      <c r="D21" s="65">
        <f aca="true" t="shared" si="0" ref="D21:I21">D15+D17+D19</f>
        <v>14214.395205608454</v>
      </c>
      <c r="E21" s="42">
        <f t="shared" si="0"/>
        <v>16833.556400708334</v>
      </c>
      <c r="F21" s="42">
        <f t="shared" si="0"/>
        <v>19108.92157894737</v>
      </c>
      <c r="G21" s="42">
        <f t="shared" si="0"/>
        <v>19896.975602094244</v>
      </c>
      <c r="H21" s="42">
        <f t="shared" si="0"/>
        <v>20444.723403141365</v>
      </c>
      <c r="I21" s="42">
        <f t="shared" si="0"/>
        <v>21525.912392894465</v>
      </c>
      <c r="J21" s="42">
        <f>J15+J17+J19</f>
        <v>22287.331348000003</v>
      </c>
      <c r="K21" s="42">
        <f>K15+K17+K19</f>
        <v>23043.803406</v>
      </c>
      <c r="L21" s="42">
        <f>L15+L17+L19</f>
        <v>25537</v>
      </c>
    </row>
    <row r="22" spans="1:12" ht="12.75">
      <c r="A22" s="7"/>
      <c r="B22" s="7"/>
      <c r="C22" s="7"/>
      <c r="D22" s="65"/>
      <c r="E22" s="65"/>
      <c r="F22" s="42"/>
      <c r="G22" s="7"/>
      <c r="H22" s="7"/>
      <c r="I22" s="7"/>
      <c r="J22" s="7"/>
      <c r="K22" s="7"/>
      <c r="L22" s="7"/>
    </row>
    <row r="23" spans="1:12" ht="12.75">
      <c r="A23" s="7">
        <v>7</v>
      </c>
      <c r="B23" s="7" t="s">
        <v>619</v>
      </c>
      <c r="C23" s="11" t="s">
        <v>167</v>
      </c>
      <c r="D23" s="65">
        <v>4.43</v>
      </c>
      <c r="E23" s="65">
        <v>4</v>
      </c>
      <c r="F23" s="65">
        <v>5</v>
      </c>
      <c r="G23" s="65">
        <v>4.5</v>
      </c>
      <c r="H23" s="65">
        <v>4.5</v>
      </c>
      <c r="I23" s="65">
        <v>4.3</v>
      </c>
      <c r="J23" s="65">
        <v>3.88</v>
      </c>
      <c r="K23" s="65">
        <v>3.93</v>
      </c>
      <c r="L23" s="65">
        <v>3.8</v>
      </c>
    </row>
    <row r="24" spans="1:12" ht="12.75">
      <c r="A24" s="7"/>
      <c r="B24" s="7"/>
      <c r="C24" s="7"/>
      <c r="D24" s="65"/>
      <c r="E24" s="65"/>
      <c r="F24" s="42"/>
      <c r="G24" s="7"/>
      <c r="H24" s="7"/>
      <c r="I24" s="7"/>
      <c r="J24" s="7"/>
      <c r="K24" s="7"/>
      <c r="L24" s="7"/>
    </row>
    <row r="25" spans="1:12" ht="12.75">
      <c r="A25" s="7">
        <v>8</v>
      </c>
      <c r="B25" s="7" t="s">
        <v>722</v>
      </c>
      <c r="C25" s="7" t="s">
        <v>166</v>
      </c>
      <c r="D25" s="65">
        <f>D17*4.43%</f>
        <v>3.3221523490635136</v>
      </c>
      <c r="E25" s="65">
        <f>E17*4%</f>
        <v>0.665</v>
      </c>
      <c r="F25" s="65">
        <f>F17*5%</f>
        <v>4.602631578947369</v>
      </c>
      <c r="G25" s="65">
        <f>G17*4.5%</f>
        <v>8.44680628272251</v>
      </c>
      <c r="H25" s="65">
        <f>H17*4.5%</f>
        <v>12.953403141361255</v>
      </c>
      <c r="I25" s="65">
        <f>I17*4.3%</f>
        <v>15.352392894461858</v>
      </c>
      <c r="J25" s="451">
        <f>J17*4.2%</f>
        <v>24.348460332000002</v>
      </c>
      <c r="K25" s="451">
        <f>K17*4.2%</f>
        <v>25.993366896</v>
      </c>
      <c r="L25" s="451">
        <f>L17*4.2%</f>
        <v>17.304000000000002</v>
      </c>
    </row>
    <row r="26" spans="1:12" ht="12.75">
      <c r="A26" s="7"/>
      <c r="B26" s="7"/>
      <c r="C26" s="7"/>
      <c r="D26" s="65"/>
      <c r="E26" s="65"/>
      <c r="F26" s="42"/>
      <c r="G26" s="7"/>
      <c r="H26" s="7"/>
      <c r="I26" s="7"/>
      <c r="J26" s="452"/>
      <c r="K26" s="452"/>
      <c r="L26" s="452"/>
    </row>
    <row r="27" spans="1:12" ht="12.75">
      <c r="A27" s="7">
        <v>9</v>
      </c>
      <c r="B27" s="7" t="s">
        <v>931</v>
      </c>
      <c r="C27" s="7" t="s">
        <v>166</v>
      </c>
      <c r="D27" s="65">
        <f>D15*4.43%</f>
        <v>624.553053259391</v>
      </c>
      <c r="E27" s="65">
        <f>E15*4%</f>
        <v>629.8321027083333</v>
      </c>
      <c r="F27" s="65">
        <f>F15*5%</f>
        <v>905.8189473684212</v>
      </c>
      <c r="G27" s="65">
        <f>G15*4.5%</f>
        <v>885.3987958115183</v>
      </c>
      <c r="H27" s="65">
        <f>H15*4.5%</f>
        <v>879.0471</v>
      </c>
      <c r="I27" s="65">
        <f>I15*4.3%</f>
        <v>908.9718399999999</v>
      </c>
      <c r="J27" s="451">
        <f>J15*3.9%</f>
        <v>829.0396576800001</v>
      </c>
      <c r="K27" s="451">
        <f>K15*3.9%</f>
        <v>874.571635002</v>
      </c>
      <c r="L27" s="451">
        <f>L15*3.9%</f>
        <v>979.875</v>
      </c>
    </row>
    <row r="28" spans="1:12" ht="12.75">
      <c r="A28" s="7"/>
      <c r="B28" s="7"/>
      <c r="C28" s="7"/>
      <c r="D28" s="65"/>
      <c r="E28" s="65"/>
      <c r="F28" s="223"/>
      <c r="G28" s="7"/>
      <c r="H28" s="7"/>
      <c r="I28" s="7"/>
      <c r="J28" s="452"/>
      <c r="K28" s="452"/>
      <c r="L28" s="452"/>
    </row>
    <row r="29" spans="1:12" ht="12.75">
      <c r="A29" s="8">
        <v>10</v>
      </c>
      <c r="B29" s="7" t="s">
        <v>258</v>
      </c>
      <c r="C29" s="7" t="s">
        <v>166</v>
      </c>
      <c r="D29" s="65">
        <f aca="true" t="shared" si="1" ref="D29:I29">D21-D25-D27</f>
        <v>13586.52</v>
      </c>
      <c r="E29" s="65">
        <f t="shared" si="1"/>
        <v>16203.059298</v>
      </c>
      <c r="F29" s="65">
        <f t="shared" si="1"/>
        <v>18198.500000000004</v>
      </c>
      <c r="G29" s="65">
        <f t="shared" si="1"/>
        <v>19003.130000000005</v>
      </c>
      <c r="H29" s="65">
        <f t="shared" si="1"/>
        <v>19552.722900000004</v>
      </c>
      <c r="I29" s="65">
        <f t="shared" si="1"/>
        <v>20601.588160000003</v>
      </c>
      <c r="J29" s="451">
        <f>J21-J25-J27</f>
        <v>21433.943229988003</v>
      </c>
      <c r="K29" s="451">
        <f>K21-K25-K27</f>
        <v>22143.238404101998</v>
      </c>
      <c r="L29" s="451">
        <f>L21-L25-L27</f>
        <v>24539.821</v>
      </c>
    </row>
    <row r="30" spans="1:12" ht="12.75">
      <c r="A30" s="7"/>
      <c r="B30" s="7"/>
      <c r="C30" s="7"/>
      <c r="D30" s="65"/>
      <c r="E30" s="65"/>
      <c r="F30" s="65"/>
      <c r="G30" s="7"/>
      <c r="H30" s="7"/>
      <c r="I30" s="7"/>
      <c r="J30" s="452"/>
      <c r="K30" s="452"/>
      <c r="L30" s="452"/>
    </row>
    <row r="31" spans="1:12" ht="12.75">
      <c r="A31" s="7">
        <v>11</v>
      </c>
      <c r="B31" s="16" t="s">
        <v>721</v>
      </c>
      <c r="C31" s="7" t="s">
        <v>166</v>
      </c>
      <c r="D31" s="65">
        <f>D15+D17-D25-D27</f>
        <v>13545.380000000001</v>
      </c>
      <c r="E31" s="65">
        <f>E15+E17-E25-E27</f>
        <v>15131.930465</v>
      </c>
      <c r="F31" s="65">
        <f>F15+F17-F25-F27</f>
        <v>17298.010000000002</v>
      </c>
      <c r="G31" s="65">
        <f>G15+G17-G25-G27</f>
        <v>18969.390000000003</v>
      </c>
      <c r="H31" s="65">
        <f>H15+H17-H25-H27</f>
        <v>18930.232900000003</v>
      </c>
      <c r="I31" s="65">
        <f>I15+I17</f>
        <v>21495.912392894465</v>
      </c>
      <c r="J31" s="451">
        <f>J15+J17</f>
        <v>21837.152366000002</v>
      </c>
      <c r="K31" s="451">
        <f>K15+K17</f>
        <v>23043.803406</v>
      </c>
      <c r="L31" s="451">
        <f>L15+L17</f>
        <v>25537</v>
      </c>
    </row>
    <row r="32" spans="1:12" ht="12.75">
      <c r="A32" s="7"/>
      <c r="B32" s="7"/>
      <c r="C32" s="7"/>
      <c r="D32" s="65"/>
      <c r="E32" s="65"/>
      <c r="F32" s="42"/>
      <c r="G32" s="7"/>
      <c r="H32" s="7"/>
      <c r="I32" s="7"/>
      <c r="J32" s="7"/>
      <c r="K32" s="7"/>
      <c r="L32" s="7"/>
    </row>
    <row r="33" spans="1:12" ht="12.75">
      <c r="A33" s="7"/>
      <c r="B33" s="13" t="s">
        <v>259</v>
      </c>
      <c r="C33" s="13"/>
      <c r="D33" s="65"/>
      <c r="E33" s="65"/>
      <c r="F33" s="42"/>
      <c r="G33" s="7"/>
      <c r="H33" s="7"/>
      <c r="I33" s="7"/>
      <c r="J33" s="7"/>
      <c r="K33" s="7"/>
      <c r="L33" s="7"/>
    </row>
    <row r="34" spans="1:12" ht="12.75">
      <c r="A34" s="7"/>
      <c r="B34" s="7"/>
      <c r="C34" s="7"/>
      <c r="D34" s="65"/>
      <c r="E34" s="65"/>
      <c r="F34" s="42"/>
      <c r="G34" s="7"/>
      <c r="H34" s="7"/>
      <c r="I34" s="7"/>
      <c r="J34" s="7"/>
      <c r="K34" s="7"/>
      <c r="L34" s="7"/>
    </row>
    <row r="35" spans="1:12" ht="12.75">
      <c r="A35" s="7">
        <v>1</v>
      </c>
      <c r="B35" s="7" t="s">
        <v>159</v>
      </c>
      <c r="C35" s="7" t="s">
        <v>163</v>
      </c>
      <c r="D35" s="65">
        <f aca="true" t="shared" si="2" ref="D35:I35">(D11)/D29*D27</f>
        <v>0</v>
      </c>
      <c r="E35" s="65">
        <f t="shared" si="2"/>
        <v>0</v>
      </c>
      <c r="F35" s="65">
        <f t="shared" si="2"/>
        <v>0</v>
      </c>
      <c r="G35" s="65">
        <f t="shared" si="2"/>
        <v>0</v>
      </c>
      <c r="H35" s="65">
        <f t="shared" si="2"/>
        <v>0</v>
      </c>
      <c r="I35" s="65">
        <f t="shared" si="2"/>
        <v>0</v>
      </c>
      <c r="J35" s="65">
        <f>(J11)/J29*J27</f>
        <v>0</v>
      </c>
      <c r="K35" s="65">
        <f>(K11)/K29*K27</f>
        <v>0</v>
      </c>
      <c r="L35" s="65">
        <f>(L11)/L29*L27</f>
        <v>0</v>
      </c>
    </row>
    <row r="36" spans="1:12" ht="12.75">
      <c r="A36" s="7"/>
      <c r="B36" s="7"/>
      <c r="C36" s="7"/>
      <c r="D36" s="65"/>
      <c r="E36" s="65"/>
      <c r="F36" s="42"/>
      <c r="G36" s="7"/>
      <c r="H36" s="7"/>
      <c r="I36" s="7"/>
      <c r="J36" s="7"/>
      <c r="K36" s="7"/>
      <c r="L36" s="7"/>
    </row>
    <row r="37" spans="1:12" ht="38.25">
      <c r="A37" s="7">
        <v>2</v>
      </c>
      <c r="B37" s="334" t="s">
        <v>1064</v>
      </c>
      <c r="C37" s="7" t="s">
        <v>163</v>
      </c>
      <c r="D37" s="65" t="e">
        <f>(D13)/D31*D27</f>
        <v>#REF!</v>
      </c>
      <c r="E37" s="65" t="e">
        <f>(E13)/E31*E27</f>
        <v>#REF!</v>
      </c>
      <c r="F37" s="65" t="e">
        <f>(F13)/F31*F27</f>
        <v>#REF!</v>
      </c>
      <c r="G37" s="65">
        <f>(G13)/G31*G27</f>
        <v>34.308457480682335</v>
      </c>
      <c r="H37" s="65">
        <f>(H13)/H31*H27</f>
        <v>24.016936144847886</v>
      </c>
      <c r="I37" s="65">
        <f>(I13-3.72)/I31*I27</f>
        <v>20.60066726797562</v>
      </c>
      <c r="J37" s="451">
        <f>(J13-5)/J31*J27</f>
        <v>20.182546418249565</v>
      </c>
      <c r="K37" s="451">
        <f>(K13-5)/K31*K27</f>
        <v>25.740174434569873</v>
      </c>
      <c r="L37" s="451">
        <f>(L13-5)/L31*L27</f>
        <v>32.91261224531239</v>
      </c>
    </row>
    <row r="38" spans="1:12" ht="12.75">
      <c r="A38" s="7"/>
      <c r="B38" s="7"/>
      <c r="C38" s="7"/>
      <c r="D38" s="65"/>
      <c r="E38" s="65"/>
      <c r="F38" s="42"/>
      <c r="G38" s="7"/>
      <c r="H38" s="7"/>
      <c r="I38" s="7"/>
      <c r="J38" s="452"/>
      <c r="K38" s="452"/>
      <c r="L38" s="452"/>
    </row>
    <row r="39" spans="1:12" ht="27" customHeight="1">
      <c r="A39" s="7">
        <v>3</v>
      </c>
      <c r="B39" s="334" t="s">
        <v>1065</v>
      </c>
      <c r="C39" s="7" t="s">
        <v>961</v>
      </c>
      <c r="D39" s="65" t="e">
        <f aca="true" t="shared" si="3" ref="D39:I39">D13/(D21/10)</f>
        <v>#REF!</v>
      </c>
      <c r="E39" s="65" t="e">
        <f t="shared" si="3"/>
        <v>#REF!</v>
      </c>
      <c r="F39" s="65" t="e">
        <f t="shared" si="3"/>
        <v>#REF!</v>
      </c>
      <c r="G39" s="65">
        <f t="shared" si="3"/>
        <v>0.3694269407815455</v>
      </c>
      <c r="H39" s="65">
        <f t="shared" si="3"/>
        <v>0.2529764976524607</v>
      </c>
      <c r="I39" s="65">
        <f t="shared" si="3"/>
        <v>0.22804931667474462</v>
      </c>
      <c r="J39" s="451">
        <f>J13/(J21/10)</f>
        <v>0.24077099964153145</v>
      </c>
      <c r="K39" s="451">
        <f>K13/(K21/10)</f>
        <v>0.2964872888929992</v>
      </c>
      <c r="L39" s="451">
        <f>L13/(L21/10)</f>
        <v>0.3378437680509798</v>
      </c>
    </row>
    <row r="40" spans="1:12" ht="12.75">
      <c r="A40" s="7"/>
      <c r="B40" s="7"/>
      <c r="C40" s="7"/>
      <c r="D40" s="65"/>
      <c r="E40" s="65"/>
      <c r="F40" s="42"/>
      <c r="G40" s="7"/>
      <c r="H40" s="7"/>
      <c r="I40" s="7"/>
      <c r="J40" s="452"/>
      <c r="K40" s="452"/>
      <c r="L40" s="452"/>
    </row>
    <row r="41" spans="1:12" ht="12.75">
      <c r="A41" s="7">
        <v>4</v>
      </c>
      <c r="B41" s="7" t="s">
        <v>962</v>
      </c>
      <c r="C41" s="7" t="s">
        <v>961</v>
      </c>
      <c r="D41" s="65">
        <f aca="true" t="shared" si="4" ref="D41:I41">D11/(D21/10)</f>
        <v>0</v>
      </c>
      <c r="E41" s="65">
        <f t="shared" si="4"/>
        <v>0</v>
      </c>
      <c r="F41" s="65">
        <f t="shared" si="4"/>
        <v>0</v>
      </c>
      <c r="G41" s="65">
        <f t="shared" si="4"/>
        <v>0</v>
      </c>
      <c r="H41" s="65">
        <f t="shared" si="4"/>
        <v>0</v>
      </c>
      <c r="I41" s="65">
        <f t="shared" si="4"/>
        <v>0</v>
      </c>
      <c r="J41" s="451">
        <f>J11/(J21/10)</f>
        <v>0</v>
      </c>
      <c r="K41" s="451">
        <f>K11/(K21/10)</f>
        <v>0</v>
      </c>
      <c r="L41" s="451">
        <f>L11/(L21/10)</f>
        <v>0</v>
      </c>
    </row>
    <row r="42" spans="1:12" ht="12.75">
      <c r="A42" s="7"/>
      <c r="B42" s="7"/>
      <c r="C42" s="7"/>
      <c r="D42" s="65"/>
      <c r="E42" s="65"/>
      <c r="F42" s="42"/>
      <c r="G42" s="7"/>
      <c r="H42" s="7"/>
      <c r="I42" s="7"/>
      <c r="J42" s="452"/>
      <c r="K42" s="452"/>
      <c r="L42" s="452"/>
    </row>
    <row r="43" spans="1:12" ht="25.5">
      <c r="A43" s="8" t="s">
        <v>160</v>
      </c>
      <c r="B43" s="334" t="s">
        <v>1066</v>
      </c>
      <c r="C43" s="7" t="s">
        <v>961</v>
      </c>
      <c r="D43" s="65">
        <f>'TRF-5'!D54/('TRF-4'!D21/10)</f>
        <v>0</v>
      </c>
      <c r="E43" s="65">
        <f>'TRF-5'!E54/('TRF-4'!E21/10)</f>
        <v>0</v>
      </c>
      <c r="F43" s="65">
        <f>'TRF-5'!F54/('TRF-4'!F21/10)</f>
        <v>0.004400980958164182</v>
      </c>
      <c r="G43" s="326">
        <f>'TRF-5'!G54/('TRF-4'!G21/10)</f>
        <v>0.004226672519573695</v>
      </c>
      <c r="H43" s="326">
        <f>'TRF-5'!H54/('TRF-4'!H21/10)</f>
        <v>0.0066807457996234535</v>
      </c>
      <c r="I43" s="326">
        <f>'TRF-5'!I54/('TRF-4'!I21/10)</f>
        <v>0.011526038732829678</v>
      </c>
      <c r="J43" s="453">
        <f>'TRF-5'!J54/('TRF-4'!J21/10)</f>
        <v>0.014122754092236595</v>
      </c>
      <c r="K43" s="453">
        <f>'TRF-5'!K54/('TRF-4'!K21/10)</f>
        <v>0.02128336418077147</v>
      </c>
      <c r="L43" s="453">
        <f>'TRF-5'!L54/('TRF-4'!L21/10)</f>
        <v>0.019205453263891607</v>
      </c>
    </row>
    <row r="44" spans="1:12" ht="12.75">
      <c r="A44" s="8"/>
      <c r="B44" s="7"/>
      <c r="C44" s="7"/>
      <c r="D44" s="65"/>
      <c r="E44" s="65"/>
      <c r="F44" s="42"/>
      <c r="G44" s="7"/>
      <c r="H44" s="7"/>
      <c r="I44" s="7"/>
      <c r="J44" s="452"/>
      <c r="K44" s="452"/>
      <c r="L44" s="452"/>
    </row>
    <row r="45" spans="1:12" ht="12.75">
      <c r="A45" s="8">
        <v>6</v>
      </c>
      <c r="B45" s="7" t="s">
        <v>963</v>
      </c>
      <c r="C45" s="7" t="s">
        <v>961</v>
      </c>
      <c r="D45" s="65" t="e">
        <f aca="true" t="shared" si="5" ref="D45:I45">(D41+D43+D39)*100</f>
        <v>#REF!</v>
      </c>
      <c r="E45" s="65" t="e">
        <f t="shared" si="5"/>
        <v>#REF!</v>
      </c>
      <c r="F45" s="65" t="e">
        <f t="shared" si="5"/>
        <v>#REF!</v>
      </c>
      <c r="G45" s="65">
        <f t="shared" si="5"/>
        <v>37.36536133011192</v>
      </c>
      <c r="H45" s="65">
        <f t="shared" si="5"/>
        <v>25.965724345208418</v>
      </c>
      <c r="I45" s="65">
        <f t="shared" si="5"/>
        <v>23.95753554075743</v>
      </c>
      <c r="J45" s="451">
        <f>(J41+J43+J39)*100</f>
        <v>25.489375373376806</v>
      </c>
      <c r="K45" s="451">
        <f>(K41+K43+K39)*100</f>
        <v>31.777065307377068</v>
      </c>
      <c r="L45" s="451">
        <f>(L41+L43+L39)*100</f>
        <v>35.704922131487145</v>
      </c>
    </row>
    <row r="46" spans="1:7" ht="12.75">
      <c r="A46" s="7"/>
      <c r="B46" s="7"/>
      <c r="C46" s="7"/>
      <c r="D46" s="65"/>
      <c r="E46" s="65"/>
      <c r="F46" s="42"/>
      <c r="G46" s="7"/>
    </row>
    <row r="47" spans="1:7" ht="29.25" customHeight="1">
      <c r="A47" s="562" t="s">
        <v>747</v>
      </c>
      <c r="B47" s="562"/>
      <c r="C47" s="562"/>
      <c r="D47" s="562"/>
      <c r="E47" s="562"/>
      <c r="F47" s="562"/>
      <c r="G47" s="7"/>
    </row>
    <row r="48" spans="1:3" ht="12.75">
      <c r="A48" s="14"/>
      <c r="B48" s="6"/>
      <c r="C48" s="6"/>
    </row>
    <row r="49" spans="1:3" ht="12.75" hidden="1">
      <c r="A49" s="80" t="s">
        <v>119</v>
      </c>
      <c r="B49" s="6"/>
      <c r="C49" s="6"/>
    </row>
    <row r="50" ht="12.75">
      <c r="A50" s="12"/>
    </row>
  </sheetData>
  <sheetProtection/>
  <mergeCells count="2">
    <mergeCell ref="A3:C3"/>
    <mergeCell ref="A47:F47"/>
  </mergeCells>
  <printOptions/>
  <pageMargins left="0.31" right="0.23" top="1" bottom="1" header="0.5" footer="0.5"/>
  <pageSetup fitToHeight="1" fitToWidth="1" horizontalDpi="600" verticalDpi="600" orientation="portrait" paperSize="9" scale="96" r:id="rId1"/>
  <headerFooter alignWithMargins="0">
    <oddFooter>&amp;L&amp;F-&amp;A&amp;CPage-&amp;P of &amp;P&amp;R&amp;D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zoomScalePageLayoutView="0" workbookViewId="0" topLeftCell="A25">
      <selection activeCell="M48" sqref="M48"/>
    </sheetView>
  </sheetViews>
  <sheetFormatPr defaultColWidth="14.7109375" defaultRowHeight="12.75"/>
  <cols>
    <col min="1" max="1" width="4.8515625" style="212" customWidth="1"/>
    <col min="2" max="2" width="6.421875" style="30" customWidth="1"/>
    <col min="3" max="3" width="49.28125" style="30" customWidth="1"/>
    <col min="4" max="6" width="16.421875" style="30" hidden="1" customWidth="1"/>
    <col min="7" max="7" width="12.421875" style="30" hidden="1" customWidth="1"/>
    <col min="8" max="8" width="11.00390625" style="30" hidden="1" customWidth="1"/>
    <col min="9" max="9" width="12.8515625" style="30" hidden="1" customWidth="1"/>
    <col min="10" max="10" width="14.00390625" style="30" customWidth="1"/>
    <col min="11" max="12" width="15.57421875" style="30" customWidth="1"/>
    <col min="13" max="16384" width="14.7109375" style="30" customWidth="1"/>
  </cols>
  <sheetData>
    <row r="1" ht="18">
      <c r="A1" s="208" t="s">
        <v>1398</v>
      </c>
    </row>
    <row r="2" spans="1:7" ht="15.75">
      <c r="A2" s="565"/>
      <c r="B2" s="565"/>
      <c r="C2" s="565"/>
      <c r="G2" s="33"/>
    </row>
    <row r="3" ht="15.75">
      <c r="A3" s="209"/>
    </row>
    <row r="4" spans="1:10" ht="18">
      <c r="A4" s="210"/>
      <c r="J4" s="33" t="s">
        <v>809</v>
      </c>
    </row>
    <row r="5" ht="15.75">
      <c r="A5" s="209"/>
    </row>
    <row r="6" spans="1:3" ht="18">
      <c r="A6" s="209"/>
      <c r="C6" s="81" t="s">
        <v>1350</v>
      </c>
    </row>
    <row r="7" spans="1:10" ht="18">
      <c r="A7" s="209"/>
      <c r="C7" s="81" t="s">
        <v>1351</v>
      </c>
      <c r="J7" s="60" t="s">
        <v>820</v>
      </c>
    </row>
    <row r="8" spans="1:3" ht="18">
      <c r="A8" s="209"/>
      <c r="C8" s="81" t="s">
        <v>1352</v>
      </c>
    </row>
    <row r="9" spans="1:9" ht="15.75">
      <c r="A9" s="209"/>
      <c r="B9" s="34"/>
      <c r="C9" s="34"/>
      <c r="I9" s="60"/>
    </row>
    <row r="10" spans="1:12" ht="30.75" customHeight="1">
      <c r="A10" s="211" t="s">
        <v>161</v>
      </c>
      <c r="B10" s="222"/>
      <c r="C10" s="24" t="s">
        <v>964</v>
      </c>
      <c r="D10" s="82" t="s">
        <v>1181</v>
      </c>
      <c r="E10" s="82" t="s">
        <v>177</v>
      </c>
      <c r="F10" s="82" t="s">
        <v>433</v>
      </c>
      <c r="G10" s="82" t="s">
        <v>973</v>
      </c>
      <c r="H10" s="82" t="s">
        <v>979</v>
      </c>
      <c r="I10" s="82" t="s">
        <v>980</v>
      </c>
      <c r="J10" s="82" t="s">
        <v>880</v>
      </c>
      <c r="K10" s="27" t="s">
        <v>1306</v>
      </c>
      <c r="L10" s="27" t="s">
        <v>878</v>
      </c>
    </row>
    <row r="11" spans="1:12" ht="15">
      <c r="A11" s="213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5">
      <c r="A12" s="213" t="s">
        <v>574</v>
      </c>
      <c r="B12" s="21"/>
      <c r="C12" s="21" t="s">
        <v>260</v>
      </c>
      <c r="D12" s="35">
        <f>'TRF-6'!D29</f>
        <v>0</v>
      </c>
      <c r="E12" s="35">
        <f>'TRF-6'!E29</f>
        <v>0</v>
      </c>
      <c r="F12" s="35">
        <f>'TRF-6'!F29</f>
        <v>0</v>
      </c>
      <c r="G12" s="35">
        <f>'TRF-6'!G29</f>
        <v>0</v>
      </c>
      <c r="H12" s="35">
        <f>'TRF-6'!H29</f>
        <v>0</v>
      </c>
      <c r="I12" s="35">
        <f>'TRF-6'!I29</f>
        <v>0</v>
      </c>
      <c r="J12" s="35">
        <f>'TRF-6'!J29</f>
        <v>0</v>
      </c>
      <c r="K12" s="21"/>
      <c r="L12" s="21"/>
    </row>
    <row r="13" spans="1:12" ht="15">
      <c r="A13" s="213" t="s">
        <v>1211</v>
      </c>
      <c r="B13" s="21"/>
      <c r="C13" s="21" t="s">
        <v>944</v>
      </c>
      <c r="D13" s="28"/>
      <c r="E13" s="28"/>
      <c r="F13" s="28"/>
      <c r="G13" s="21"/>
      <c r="H13" s="21"/>
      <c r="I13" s="21"/>
      <c r="J13" s="21"/>
      <c r="K13" s="21"/>
      <c r="L13" s="21"/>
    </row>
    <row r="14" spans="1:13" ht="15">
      <c r="A14" s="213"/>
      <c r="B14" s="26" t="s">
        <v>1287</v>
      </c>
      <c r="C14" s="21" t="s">
        <v>1288</v>
      </c>
      <c r="D14" s="35" t="e">
        <f>'TRF-6'!D31</f>
        <v>#REF!</v>
      </c>
      <c r="E14" s="35">
        <f>'TRF-6'!E31</f>
        <v>63.089850000000006</v>
      </c>
      <c r="F14" s="35">
        <f>'TRF-6'!F31</f>
        <v>102.23000000000002</v>
      </c>
      <c r="G14" s="35">
        <f>'TRF-6'!G31</f>
        <v>89.67999999999998</v>
      </c>
      <c r="H14" s="35">
        <f>'TRF-6'!H31</f>
        <v>113.98000000000005</v>
      </c>
      <c r="I14" s="35">
        <f>'TRF-6'!I31</f>
        <v>91.69</v>
      </c>
      <c r="J14" s="35">
        <f>'TRF-6'!J31</f>
        <v>99.51999999999998</v>
      </c>
      <c r="K14" s="442">
        <f>'TRF-6'!K31</f>
        <v>140.00513399999997</v>
      </c>
      <c r="L14" s="28">
        <f>'TRF-6'!L31</f>
        <v>197.06182425999995</v>
      </c>
      <c r="M14" s="36">
        <f>L14+L30</f>
        <v>341.18849092666665</v>
      </c>
    </row>
    <row r="15" spans="1:13" ht="15">
      <c r="A15" s="213"/>
      <c r="B15" s="26" t="s">
        <v>1289</v>
      </c>
      <c r="C15" s="21" t="s">
        <v>1090</v>
      </c>
      <c r="D15" s="35" t="e">
        <f>'TRF-6'!D32</f>
        <v>#REF!</v>
      </c>
      <c r="E15" s="35">
        <f>'TRF-6'!E32</f>
        <v>11.290000000000001</v>
      </c>
      <c r="F15" s="35">
        <f>'TRF-6'!F32</f>
        <v>16.490000000000002</v>
      </c>
      <c r="G15" s="35">
        <f>'TRF-6'!G32</f>
        <v>16.905026548672566</v>
      </c>
      <c r="H15" s="35">
        <f>'TRF-6'!H32</f>
        <v>26.14</v>
      </c>
      <c r="I15" s="35">
        <f>'TRF-6'!I32</f>
        <v>28.31</v>
      </c>
      <c r="J15" s="35">
        <f>'TRF-6'!J32</f>
        <v>45.7</v>
      </c>
      <c r="K15" s="21">
        <f>'TRF-6'!K32</f>
        <v>95.02</v>
      </c>
      <c r="L15" s="28">
        <f>'TRF-6'!L32</f>
        <v>108.9133</v>
      </c>
      <c r="M15" s="36">
        <f>L15</f>
        <v>108.9133</v>
      </c>
    </row>
    <row r="16" spans="1:13" ht="15">
      <c r="A16" s="213"/>
      <c r="B16" s="26" t="s">
        <v>1290</v>
      </c>
      <c r="C16" s="21" t="s">
        <v>1291</v>
      </c>
      <c r="D16" s="35" t="e">
        <f>'TRF-6'!D33</f>
        <v>#REF!</v>
      </c>
      <c r="E16" s="35" t="e">
        <f>'TRF-6'!E33</f>
        <v>#REF!</v>
      </c>
      <c r="F16" s="35" t="e">
        <f>'TRF-6'!F33</f>
        <v>#REF!</v>
      </c>
      <c r="G16" s="35">
        <f>'TRF-6'!G33</f>
        <v>16.988</v>
      </c>
      <c r="H16" s="35">
        <f>'TRF-6'!H33</f>
        <v>-8.080000000000002</v>
      </c>
      <c r="I16" s="35">
        <f>'TRF-6'!I33</f>
        <v>32.84</v>
      </c>
      <c r="J16" s="35">
        <f>'TRF-6'!J33</f>
        <v>17.89</v>
      </c>
      <c r="K16" s="442">
        <f>'TRF-6'!K33</f>
        <v>16.856099999999998</v>
      </c>
      <c r="L16" s="28">
        <f>'TRF-6'!L33</f>
        <v>20.3441</v>
      </c>
      <c r="M16" s="36">
        <f>L16+L18+L23+L25+L32</f>
        <v>23.102300000000003</v>
      </c>
    </row>
    <row r="17" spans="1:12" ht="30">
      <c r="A17" s="213"/>
      <c r="B17" s="26" t="s">
        <v>1304</v>
      </c>
      <c r="C17" s="27" t="s">
        <v>1079</v>
      </c>
      <c r="D17" s="35">
        <f>'TRF-6'!D34</f>
        <v>0</v>
      </c>
      <c r="E17" s="35">
        <f>'TRF-6'!E34</f>
        <v>0</v>
      </c>
      <c r="F17" s="35">
        <f>'TRF-6'!F34</f>
        <v>0</v>
      </c>
      <c r="G17" s="35">
        <f>'TRF-6'!G34</f>
        <v>0</v>
      </c>
      <c r="H17" s="35">
        <f>'TRF-6'!H34</f>
        <v>0</v>
      </c>
      <c r="I17" s="35">
        <f>'TRF-6'!I34</f>
        <v>0</v>
      </c>
      <c r="J17" s="35">
        <f>'TRF-6'!J34</f>
        <v>0</v>
      </c>
      <c r="K17" s="35">
        <f>'TRF-6'!K34</f>
        <v>0</v>
      </c>
      <c r="L17" s="28">
        <f>'TRF-6'!L34</f>
        <v>0</v>
      </c>
    </row>
    <row r="18" spans="1:12" ht="30">
      <c r="A18" s="213" t="s">
        <v>1292</v>
      </c>
      <c r="B18" s="21"/>
      <c r="C18" s="27" t="s">
        <v>1335</v>
      </c>
      <c r="D18" s="35" t="e">
        <f>'TRF-6'!D35</f>
        <v>#REF!</v>
      </c>
      <c r="E18" s="35" t="e">
        <f>'TRF-6'!E35</f>
        <v>#REF!</v>
      </c>
      <c r="F18" s="35" t="e">
        <f>'TRF-6'!F35</f>
        <v>#REF!</v>
      </c>
      <c r="G18" s="35">
        <f>'TRF-6'!G35</f>
        <v>0.49</v>
      </c>
      <c r="H18" s="35">
        <f>'TRF-6'!H35</f>
        <v>0.15</v>
      </c>
      <c r="I18" s="35">
        <f>'TRF-6'!I35</f>
        <v>0.18</v>
      </c>
      <c r="J18" s="35">
        <f>'TRF-6'!J35</f>
        <v>1.2000000000000002</v>
      </c>
      <c r="K18" s="442">
        <f>'TRF-6'!K35</f>
        <v>1.32</v>
      </c>
      <c r="L18" s="442">
        <f>'TRF-6'!L35</f>
        <v>1.4520000000000002</v>
      </c>
    </row>
    <row r="19" spans="1:12" ht="15">
      <c r="A19" s="213" t="s">
        <v>1293</v>
      </c>
      <c r="B19" s="21"/>
      <c r="C19" s="21" t="s">
        <v>634</v>
      </c>
      <c r="D19" s="35">
        <f>'TRF-6'!D36</f>
        <v>0</v>
      </c>
      <c r="E19" s="35">
        <f>'TRF-6'!E36</f>
        <v>0</v>
      </c>
      <c r="F19" s="35">
        <f>'TRF-6'!F36</f>
        <v>0</v>
      </c>
      <c r="G19" s="35">
        <f>'TRF-6'!G36</f>
        <v>0</v>
      </c>
      <c r="H19" s="35">
        <f>'TRF-6'!H36</f>
        <v>0</v>
      </c>
      <c r="I19" s="35">
        <f>'TRF-6'!I36</f>
        <v>0</v>
      </c>
      <c r="J19" s="35">
        <f>'TRF-6'!J36</f>
        <v>0</v>
      </c>
      <c r="K19" s="35">
        <f>'TRF-6'!K36</f>
        <v>0</v>
      </c>
      <c r="L19" s="35">
        <f>'TRF-6'!L36</f>
        <v>0</v>
      </c>
    </row>
    <row r="20" spans="1:12" ht="37.5" customHeight="1">
      <c r="A20" s="213"/>
      <c r="B20" s="59" t="s">
        <v>1287</v>
      </c>
      <c r="C20" s="27" t="s">
        <v>1091</v>
      </c>
      <c r="D20" s="35">
        <f>'TRF-6'!D37</f>
        <v>102.52</v>
      </c>
      <c r="E20" s="35">
        <f>'TRF-6'!E37</f>
        <v>116.23</v>
      </c>
      <c r="F20" s="35">
        <f>'TRF-6'!F37</f>
        <v>110.65</v>
      </c>
      <c r="G20" s="35">
        <f>'TRF-6'!G37</f>
        <v>97.24</v>
      </c>
      <c r="H20" s="35">
        <f>'TRF-6'!H37</f>
        <v>59.34</v>
      </c>
      <c r="I20" s="35">
        <f>'TRF-6'!I37</f>
        <v>66.06</v>
      </c>
      <c r="J20" s="35">
        <f>'TRF-6'!J37</f>
        <v>66.06</v>
      </c>
      <c r="K20" s="442">
        <f>'TRF-6'!K37</f>
        <v>93.71133476281999</v>
      </c>
      <c r="L20" s="442">
        <f>'TRF-6'!L37</f>
        <v>121.11156322388162</v>
      </c>
    </row>
    <row r="21" spans="1:12" ht="15">
      <c r="A21" s="213"/>
      <c r="B21" s="26" t="s">
        <v>1289</v>
      </c>
      <c r="C21" s="21" t="s">
        <v>635</v>
      </c>
      <c r="D21" s="35">
        <f>'TRF-6'!D38</f>
        <v>0</v>
      </c>
      <c r="E21" s="35">
        <f>'TRF-6'!E38</f>
        <v>0</v>
      </c>
      <c r="F21" s="35">
        <f>'TRF-6'!F38</f>
        <v>0</v>
      </c>
      <c r="G21" s="35">
        <f>'TRF-6'!G38</f>
        <v>0</v>
      </c>
      <c r="H21" s="35">
        <f>'TRF-6'!H38</f>
        <v>0</v>
      </c>
      <c r="I21" s="35">
        <f>'TRF-6'!I38</f>
        <v>0</v>
      </c>
      <c r="J21" s="35">
        <f>'TRF-6'!J38</f>
        <v>0</v>
      </c>
      <c r="K21" s="35">
        <f>'TRF-6'!K38</f>
        <v>0</v>
      </c>
      <c r="L21" s="35">
        <f>'TRF-6'!L38</f>
        <v>0</v>
      </c>
    </row>
    <row r="22" spans="1:12" ht="15">
      <c r="A22" s="213" t="s">
        <v>636</v>
      </c>
      <c r="B22" s="21"/>
      <c r="C22" s="21" t="s">
        <v>1243</v>
      </c>
      <c r="D22" s="35">
        <f>'TRF-6'!D39</f>
        <v>0</v>
      </c>
      <c r="E22" s="35">
        <f>'TRF-6'!E39</f>
        <v>0</v>
      </c>
      <c r="F22" s="35">
        <f>'TRF-6'!F39</f>
        <v>0</v>
      </c>
      <c r="G22" s="35">
        <f>'TRF-6'!G39</f>
        <v>0</v>
      </c>
      <c r="H22" s="35">
        <f>'TRF-6'!H39</f>
        <v>0</v>
      </c>
      <c r="I22" s="35">
        <f>'TRF-6'!I39</f>
        <v>0</v>
      </c>
      <c r="J22" s="35">
        <f>'TRF-6'!J39</f>
        <v>0</v>
      </c>
      <c r="K22" s="21">
        <f>'TRF-6'!K39</f>
        <v>0</v>
      </c>
      <c r="L22" s="442">
        <f>'TRF-6'!L39</f>
        <v>31.461643911856683</v>
      </c>
    </row>
    <row r="23" spans="1:12" ht="30">
      <c r="A23" s="213" t="s">
        <v>637</v>
      </c>
      <c r="B23" s="21"/>
      <c r="C23" s="27" t="s">
        <v>392</v>
      </c>
      <c r="D23" s="35" t="e">
        <f>'TRF-6'!D40</f>
        <v>#REF!</v>
      </c>
      <c r="E23" s="35">
        <f>'TRF-6'!E40</f>
        <v>0.13</v>
      </c>
      <c r="F23" s="35">
        <f>'TRF-6'!F40</f>
        <v>0.65</v>
      </c>
      <c r="G23" s="35">
        <f>'TRF-6'!G40</f>
        <v>0.6</v>
      </c>
      <c r="H23" s="35">
        <f>'TRF-6'!H40</f>
        <v>1.03</v>
      </c>
      <c r="I23" s="35">
        <f>'TRF-6'!I40</f>
        <v>1.07</v>
      </c>
      <c r="J23" s="35">
        <f>'TRF-6'!J40</f>
        <v>0.9899999999999999</v>
      </c>
      <c r="K23" s="442">
        <f>'TRF-6'!K40</f>
        <v>1.067</v>
      </c>
      <c r="L23" s="442">
        <f>'TRF-6'!L40</f>
        <v>1.1737</v>
      </c>
    </row>
    <row r="24" spans="1:12" ht="15">
      <c r="A24" s="213" t="s">
        <v>638</v>
      </c>
      <c r="B24" s="21"/>
      <c r="C24" s="27" t="s">
        <v>1148</v>
      </c>
      <c r="D24" s="35">
        <f>'TRF-6'!D41</f>
        <v>0</v>
      </c>
      <c r="E24" s="35">
        <f>'TRF-6'!E41</f>
        <v>0</v>
      </c>
      <c r="F24" s="35">
        <f>'TRF-6'!F41</f>
        <v>0</v>
      </c>
      <c r="G24" s="35">
        <f>'TRF-6'!G41</f>
        <v>0.11</v>
      </c>
      <c r="H24" s="35">
        <f>'TRF-6'!H41</f>
        <v>33.53</v>
      </c>
      <c r="I24" s="35">
        <f>'TRF-6'!I41</f>
        <v>0</v>
      </c>
      <c r="J24" s="35">
        <f>'TRF-6'!J41</f>
        <v>0</v>
      </c>
      <c r="K24" s="442">
        <f>'TRF-6'!K41</f>
        <v>0</v>
      </c>
      <c r="L24" s="442">
        <v>0</v>
      </c>
    </row>
    <row r="25" spans="1:12" ht="30">
      <c r="A25" s="213" t="s">
        <v>639</v>
      </c>
      <c r="B25" s="21"/>
      <c r="C25" s="27" t="s">
        <v>393</v>
      </c>
      <c r="D25" s="35">
        <f>'TRF-6'!D42</f>
        <v>0.02</v>
      </c>
      <c r="E25" s="35">
        <f>'TRF-6'!E42</f>
        <v>0.03</v>
      </c>
      <c r="F25" s="35">
        <f>'TRF-6'!F42</f>
        <v>0.02</v>
      </c>
      <c r="G25" s="35">
        <f>'TRF-6'!G42</f>
        <v>0.04</v>
      </c>
      <c r="H25" s="35">
        <f>'TRF-6'!H42</f>
        <v>0.05</v>
      </c>
      <c r="I25" s="35">
        <f>'TRF-6'!I42</f>
        <v>0.04</v>
      </c>
      <c r="J25" s="35">
        <f>'TRF-6'!J42</f>
        <v>0.1</v>
      </c>
      <c r="K25" s="442">
        <f>'TRF-6'!K42</f>
        <v>0.11000000000000001</v>
      </c>
      <c r="L25" s="442">
        <f>'TRF-6'!L42</f>
        <v>0.12100000000000002</v>
      </c>
    </row>
    <row r="26" spans="1:12" ht="30">
      <c r="A26" s="213" t="s">
        <v>640</v>
      </c>
      <c r="B26" s="21"/>
      <c r="C26" s="27" t="s">
        <v>661</v>
      </c>
      <c r="D26" s="35">
        <f>'TRF-6'!D43</f>
        <v>0</v>
      </c>
      <c r="E26" s="35">
        <f>'TRF-6'!E43</f>
        <v>0</v>
      </c>
      <c r="F26" s="35">
        <f>'TRF-6'!F43</f>
        <v>0</v>
      </c>
      <c r="G26" s="35">
        <f>'TRF-6'!G43</f>
        <v>0</v>
      </c>
      <c r="H26" s="35">
        <f>'TRF-6'!H43</f>
        <v>0</v>
      </c>
      <c r="I26" s="35">
        <f>'TRF-6'!I43</f>
        <v>0</v>
      </c>
      <c r="J26" s="35">
        <f>'TRF-6'!J43</f>
        <v>0</v>
      </c>
      <c r="K26" s="35">
        <f>'TRF-6'!K43</f>
        <v>0</v>
      </c>
      <c r="L26" s="35">
        <f>'TRF-6'!L43</f>
        <v>0</v>
      </c>
    </row>
    <row r="27" spans="1:12" ht="15">
      <c r="A27" s="213" t="s">
        <v>641</v>
      </c>
      <c r="B27" s="21"/>
      <c r="C27" s="21" t="s">
        <v>565</v>
      </c>
      <c r="D27" s="35">
        <f>'TRF-6'!D44</f>
        <v>95.2707</v>
      </c>
      <c r="E27" s="35">
        <f>'TRF-6'!E44</f>
        <v>98.64</v>
      </c>
      <c r="F27" s="35">
        <f>'TRF-6'!F44</f>
        <v>108.54856999999998</v>
      </c>
      <c r="G27" s="35">
        <f>'TRF-6'!G44</f>
        <v>109.8241352</v>
      </c>
      <c r="H27" s="35">
        <f>'TRF-6'!H44</f>
        <v>108.0334522</v>
      </c>
      <c r="I27" s="35">
        <f>'TRF-6'!I44</f>
        <v>128.4269612</v>
      </c>
      <c r="J27" s="35">
        <f>'TRF-6'!J44</f>
        <v>125.6769612</v>
      </c>
      <c r="K27" s="442">
        <f>'TRF-6'!K44</f>
        <v>151.32934500000002</v>
      </c>
      <c r="L27" s="442">
        <f>'TRF-6'!L44</f>
        <v>172.85091640938234</v>
      </c>
    </row>
    <row r="28" spans="1:12" ht="15">
      <c r="A28" s="213"/>
      <c r="B28" s="21"/>
      <c r="C28" s="21" t="s">
        <v>1014</v>
      </c>
      <c r="D28" s="35">
        <f>'TRF-6'!D45</f>
        <v>0</v>
      </c>
      <c r="E28" s="35">
        <f>'TRF-6'!E45</f>
        <v>0</v>
      </c>
      <c r="F28" s="35">
        <f>'TRF-6'!F45</f>
        <v>0</v>
      </c>
      <c r="G28" s="35">
        <f>'TRF-6'!G45</f>
        <v>0</v>
      </c>
      <c r="H28" s="35">
        <f>'TRF-6'!H45</f>
        <v>0</v>
      </c>
      <c r="I28" s="35">
        <f>'TRF-6'!I45</f>
        <v>0</v>
      </c>
      <c r="J28" s="35">
        <f>'TRF-6'!J45</f>
        <v>0</v>
      </c>
      <c r="K28" s="35">
        <f>'TRF-6'!K45</f>
        <v>0</v>
      </c>
      <c r="L28" s="35">
        <f>'TRF-6'!L45</f>
        <v>0</v>
      </c>
    </row>
    <row r="29" spans="1:12" ht="15">
      <c r="A29" s="213" t="s">
        <v>642</v>
      </c>
      <c r="B29" s="21"/>
      <c r="C29" s="21" t="s">
        <v>1244</v>
      </c>
      <c r="D29" s="35">
        <f>'TRF-6'!D46</f>
        <v>0</v>
      </c>
      <c r="E29" s="35">
        <f>'TRF-6'!E46</f>
        <v>0</v>
      </c>
      <c r="F29" s="35">
        <f>'TRF-6'!F46</f>
        <v>0</v>
      </c>
      <c r="G29" s="35">
        <f>'TRF-6'!G46</f>
        <v>0</v>
      </c>
      <c r="H29" s="35">
        <f>'TRF-6'!H46</f>
        <v>0</v>
      </c>
      <c r="I29" s="35">
        <f>'TRF-6'!I46</f>
        <v>0.2</v>
      </c>
      <c r="J29" s="35">
        <f>'TRF-6'!J46</f>
        <v>0</v>
      </c>
      <c r="K29" s="442">
        <f>'TRF-6'!K46</f>
        <v>0.3</v>
      </c>
      <c r="L29" s="442">
        <f>'TRF-6'!L46</f>
        <v>0.3</v>
      </c>
    </row>
    <row r="30" spans="1:12" ht="30">
      <c r="A30" s="213" t="s">
        <v>643</v>
      </c>
      <c r="B30" s="21"/>
      <c r="C30" s="27" t="s">
        <v>1021</v>
      </c>
      <c r="D30" s="35">
        <f>'TRF-6'!D47</f>
        <v>0</v>
      </c>
      <c r="E30" s="35">
        <f>'TRF-6'!E47</f>
        <v>41.73</v>
      </c>
      <c r="F30" s="35">
        <f>'TRF-6'!F47</f>
        <v>102.8</v>
      </c>
      <c r="G30" s="35">
        <f>'TRF-6'!G47</f>
        <v>402.58072100000004</v>
      </c>
      <c r="H30" s="35">
        <f>'TRF-6'!H47</f>
        <v>182.93</v>
      </c>
      <c r="I30" s="35">
        <f>'TRF-6'!I47</f>
        <v>141.98</v>
      </c>
      <c r="J30" s="35">
        <f>'TRF-6'!J47</f>
        <v>171.56</v>
      </c>
      <c r="K30" s="442">
        <f>'TRF-6'!K47</f>
        <v>129.79999999999998</v>
      </c>
      <c r="L30" s="442">
        <f>'TRF-6'!L47</f>
        <v>144.1266666666667</v>
      </c>
    </row>
    <row r="31" spans="1:12" ht="15">
      <c r="A31" s="213"/>
      <c r="B31" s="26" t="s">
        <v>1287</v>
      </c>
      <c r="C31" s="27" t="s">
        <v>1110</v>
      </c>
      <c r="D31" s="35">
        <f>'TRF-6'!D48</f>
        <v>0</v>
      </c>
      <c r="E31" s="35">
        <f>'TRF-6'!E48</f>
        <v>0</v>
      </c>
      <c r="F31" s="35">
        <f>'TRF-6'!F48</f>
        <v>0</v>
      </c>
      <c r="G31" s="35">
        <f>'TRF-6'!G48</f>
        <v>0</v>
      </c>
      <c r="H31" s="35">
        <f>'TRF-6'!H48</f>
        <v>0</v>
      </c>
      <c r="I31" s="35">
        <f>'TRF-6'!I48</f>
        <v>0</v>
      </c>
      <c r="J31" s="35">
        <f>'TRF-6'!J48</f>
        <v>0</v>
      </c>
      <c r="K31" s="35">
        <f>'TRF-6'!K48</f>
        <v>2</v>
      </c>
      <c r="L31" s="35">
        <f>'TRF-6'!L48</f>
        <v>10.05</v>
      </c>
    </row>
    <row r="32" spans="1:14" ht="15">
      <c r="A32" s="213"/>
      <c r="B32" s="21"/>
      <c r="C32" s="21" t="s">
        <v>1107</v>
      </c>
      <c r="D32" s="35">
        <f>'TRF-6'!D49</f>
        <v>0</v>
      </c>
      <c r="E32" s="35">
        <f>'TRF-6'!E49</f>
        <v>0</v>
      </c>
      <c r="F32" s="35">
        <f>'TRF-6'!F49</f>
        <v>0.54</v>
      </c>
      <c r="G32" s="35">
        <f>'TRF-6'!G49</f>
        <v>0.35</v>
      </c>
      <c r="H32" s="35">
        <f>'TRF-6'!H49</f>
        <v>0.1</v>
      </c>
      <c r="I32" s="35">
        <f>'TRF-6'!I49</f>
        <v>0.1</v>
      </c>
      <c r="J32" s="35">
        <f>'TRF-6'!J49</f>
        <v>0.0014936</v>
      </c>
      <c r="K32" s="442">
        <f>'TRF-6'!K49</f>
        <v>0.01</v>
      </c>
      <c r="L32" s="442">
        <f>'TRF-6'!L49</f>
        <v>0.0115</v>
      </c>
      <c r="N32" s="36">
        <f>SUM(L14:L32)</f>
        <v>808.9782144717872</v>
      </c>
    </row>
    <row r="33" spans="1:12" ht="15">
      <c r="A33" s="213"/>
      <c r="B33" s="21"/>
      <c r="C33" s="21"/>
      <c r="D33" s="35"/>
      <c r="E33" s="35">
        <f>'TRF-6'!E50</f>
        <v>0.23</v>
      </c>
      <c r="F33" s="35">
        <f>'TRF-6'!F50</f>
        <v>0.21</v>
      </c>
      <c r="G33" s="35">
        <f>'TRF-6'!G50</f>
        <v>0.24</v>
      </c>
      <c r="H33" s="35">
        <f>'TRF-6'!H50</f>
        <v>0</v>
      </c>
      <c r="I33" s="35">
        <f>'TRF-6'!I50</f>
        <v>0</v>
      </c>
      <c r="J33" s="35">
        <f>'TRF-6'!J50</f>
        <v>0</v>
      </c>
      <c r="K33" s="35">
        <f>'TRF-6'!K50</f>
        <v>0</v>
      </c>
      <c r="L33" s="35">
        <f>'TRF-6'!L50</f>
        <v>0</v>
      </c>
    </row>
    <row r="34" spans="1:14" ht="15.75">
      <c r="A34" s="214" t="s">
        <v>1285</v>
      </c>
      <c r="B34" s="21"/>
      <c r="C34" s="22" t="s">
        <v>945</v>
      </c>
      <c r="D34" s="61" t="e">
        <f>SUM(D12:D32)</f>
        <v>#REF!</v>
      </c>
      <c r="E34" s="61" t="e">
        <f aca="true" t="shared" si="0" ref="E34:K34">SUM(E12:E33)</f>
        <v>#REF!</v>
      </c>
      <c r="F34" s="61" t="e">
        <f t="shared" si="0"/>
        <v>#REF!</v>
      </c>
      <c r="G34" s="61">
        <f t="shared" si="0"/>
        <v>735.0478827486726</v>
      </c>
      <c r="H34" s="61">
        <f t="shared" si="0"/>
        <v>517.2034522</v>
      </c>
      <c r="I34" s="61">
        <f t="shared" si="0"/>
        <v>490.89696119999996</v>
      </c>
      <c r="J34" s="61">
        <f t="shared" si="0"/>
        <v>528.6984548</v>
      </c>
      <c r="K34" s="443">
        <f t="shared" si="0"/>
        <v>631.52891376282</v>
      </c>
      <c r="L34" s="443">
        <f>SUM(L14:L33)</f>
        <v>808.9782144717872</v>
      </c>
      <c r="N34" s="36">
        <f>L34-L31-L22-L24-L29</f>
        <v>767.1665705599306</v>
      </c>
    </row>
    <row r="35" spans="1:12" ht="15.75">
      <c r="A35" s="214"/>
      <c r="B35" s="21"/>
      <c r="C35" s="22"/>
      <c r="D35" s="61"/>
      <c r="E35" s="28"/>
      <c r="F35" s="28"/>
      <c r="G35" s="21"/>
      <c r="H35" s="21"/>
      <c r="I35" s="21"/>
      <c r="J35" s="21"/>
      <c r="K35" s="21"/>
      <c r="L35" s="21"/>
    </row>
    <row r="36" spans="1:12" ht="15.75">
      <c r="A36" s="215" t="s">
        <v>644</v>
      </c>
      <c r="B36" s="21"/>
      <c r="C36" s="21"/>
      <c r="D36" s="28"/>
      <c r="E36" s="28"/>
      <c r="F36" s="28"/>
      <c r="G36" s="21"/>
      <c r="H36" s="21"/>
      <c r="I36" s="21"/>
      <c r="J36" s="21"/>
      <c r="K36" s="21"/>
      <c r="L36" s="21"/>
    </row>
    <row r="37" spans="1:12" ht="15.75">
      <c r="A37" s="215" t="s">
        <v>645</v>
      </c>
      <c r="B37" s="21"/>
      <c r="C37" s="21"/>
      <c r="D37" s="28"/>
      <c r="E37" s="28"/>
      <c r="F37" s="28"/>
      <c r="G37" s="21"/>
      <c r="H37" s="21"/>
      <c r="I37" s="21"/>
      <c r="J37" s="21"/>
      <c r="K37" s="21"/>
      <c r="L37" s="21"/>
    </row>
    <row r="38" spans="1:12" ht="47.25">
      <c r="A38" s="215"/>
      <c r="B38" s="25"/>
      <c r="C38" s="25"/>
      <c r="D38" s="82" t="s">
        <v>908</v>
      </c>
      <c r="E38" s="82" t="s">
        <v>1180</v>
      </c>
      <c r="F38" s="82" t="s">
        <v>436</v>
      </c>
      <c r="G38" s="82" t="s">
        <v>973</v>
      </c>
      <c r="H38" s="82" t="s">
        <v>979</v>
      </c>
      <c r="I38" s="82" t="s">
        <v>980</v>
      </c>
      <c r="J38" s="82" t="s">
        <v>974</v>
      </c>
      <c r="K38" s="444" t="s">
        <v>1306</v>
      </c>
      <c r="L38" s="444" t="s">
        <v>1306</v>
      </c>
    </row>
    <row r="39" spans="1:12" ht="15.75">
      <c r="A39" s="563" t="s">
        <v>161</v>
      </c>
      <c r="B39" s="564"/>
      <c r="C39" s="24" t="s">
        <v>964</v>
      </c>
      <c r="D39" s="28"/>
      <c r="E39" s="28"/>
      <c r="F39" s="28"/>
      <c r="G39" s="21"/>
      <c r="H39" s="21"/>
      <c r="I39" s="21"/>
      <c r="J39" s="21"/>
      <c r="K39" s="21"/>
      <c r="L39" s="21"/>
    </row>
    <row r="40" spans="1:12" ht="15">
      <c r="A40" s="213" t="s">
        <v>574</v>
      </c>
      <c r="B40" s="21"/>
      <c r="C40" s="27" t="s">
        <v>1022</v>
      </c>
      <c r="D40" s="28">
        <f>'TRF-6'!D55</f>
        <v>0</v>
      </c>
      <c r="E40" s="28">
        <f>'TRF-6'!E55</f>
        <v>0</v>
      </c>
      <c r="F40" s="28">
        <f>'TRF-6'!F55</f>
        <v>0</v>
      </c>
      <c r="G40" s="28">
        <f>'TRF-6'!G55</f>
        <v>49.23</v>
      </c>
      <c r="H40" s="28">
        <f>'TRF-6'!H55</f>
        <v>77.76</v>
      </c>
      <c r="I40" s="28">
        <f>'TRF-6'!I55</f>
        <v>160.07</v>
      </c>
      <c r="J40" s="28">
        <v>184.69</v>
      </c>
      <c r="K40" s="35">
        <f>-'TRF-26'!K46</f>
        <v>222.43308637532016</v>
      </c>
      <c r="L40" s="35">
        <v>0</v>
      </c>
    </row>
    <row r="41" spans="1:12" ht="15">
      <c r="A41" s="213"/>
      <c r="B41" s="21"/>
      <c r="C41" s="27"/>
      <c r="D41" s="28"/>
      <c r="E41" s="28"/>
      <c r="F41" s="28"/>
      <c r="G41" s="21"/>
      <c r="H41" s="21"/>
      <c r="I41" s="21"/>
      <c r="J41" s="21"/>
      <c r="K41" s="21"/>
      <c r="L41" s="21"/>
    </row>
    <row r="42" spans="1:12" ht="15">
      <c r="A42" s="213" t="s">
        <v>1211</v>
      </c>
      <c r="B42" s="21"/>
      <c r="C42" s="21" t="s">
        <v>646</v>
      </c>
      <c r="D42" s="28"/>
      <c r="E42" s="28"/>
      <c r="F42" s="28"/>
      <c r="G42" s="21"/>
      <c r="H42" s="21"/>
      <c r="I42" s="21"/>
      <c r="J42" s="21"/>
      <c r="K42" s="21"/>
      <c r="L42" s="21"/>
    </row>
    <row r="43" spans="1:12" ht="15">
      <c r="A43" s="213" t="s">
        <v>1292</v>
      </c>
      <c r="B43" s="21"/>
      <c r="C43" s="21" t="s">
        <v>647</v>
      </c>
      <c r="D43" s="28"/>
      <c r="E43" s="28"/>
      <c r="F43" s="28"/>
      <c r="G43" s="21"/>
      <c r="H43" s="21"/>
      <c r="I43" s="21"/>
      <c r="J43" s="21"/>
      <c r="K43" s="21"/>
      <c r="L43" s="21"/>
    </row>
    <row r="44" spans="1:12" ht="15">
      <c r="A44" s="213"/>
      <c r="B44" s="21"/>
      <c r="C44" s="21" t="s">
        <v>648</v>
      </c>
      <c r="D44" s="28"/>
      <c r="E44" s="28"/>
      <c r="F44" s="28"/>
      <c r="G44" s="21"/>
      <c r="H44" s="21"/>
      <c r="I44" s="21"/>
      <c r="J44" s="21"/>
      <c r="K44" s="21"/>
      <c r="L44" s="21"/>
    </row>
    <row r="45" spans="1:12" ht="15">
      <c r="A45" s="213"/>
      <c r="B45" s="21"/>
      <c r="C45" s="21" t="s">
        <v>649</v>
      </c>
      <c r="D45" s="28"/>
      <c r="E45" s="28"/>
      <c r="F45" s="28"/>
      <c r="G45" s="21"/>
      <c r="H45" s="21"/>
      <c r="I45" s="21"/>
      <c r="J45" s="21"/>
      <c r="K45" s="21"/>
      <c r="L45" s="21"/>
    </row>
    <row r="46" spans="1:12" ht="15">
      <c r="A46" s="213" t="s">
        <v>1293</v>
      </c>
      <c r="B46" s="21"/>
      <c r="C46" s="21" t="s">
        <v>662</v>
      </c>
      <c r="D46" s="28">
        <f>'TRF-6'!D58</f>
        <v>9.6</v>
      </c>
      <c r="E46" s="28">
        <f>'TRF-6'!E58</f>
        <v>8.24</v>
      </c>
      <c r="F46" s="28">
        <f>'TRF-6'!F58</f>
        <v>11.36</v>
      </c>
      <c r="G46" s="28">
        <f>'TRF-6'!G58</f>
        <v>9.99</v>
      </c>
      <c r="H46" s="28">
        <f>'TRF-6'!H58</f>
        <v>10.93</v>
      </c>
      <c r="I46" s="28">
        <f>'TRF-6'!I58</f>
        <v>16.189999999999998</v>
      </c>
      <c r="J46" s="445">
        <f>'TRF-6'!J58</f>
        <v>14.619999999999997</v>
      </c>
      <c r="K46" s="35">
        <f>'TRF-6'!K58</f>
        <v>14.645600000000002</v>
      </c>
      <c r="L46" s="35">
        <f>'TRF-6'!L58</f>
        <v>16.728450000000002</v>
      </c>
    </row>
    <row r="47" spans="1:12" ht="15">
      <c r="A47" s="213" t="s">
        <v>636</v>
      </c>
      <c r="B47" s="21"/>
      <c r="C47" s="21" t="s">
        <v>650</v>
      </c>
      <c r="D47" s="28"/>
      <c r="E47" s="28"/>
      <c r="F47" s="28"/>
      <c r="G47" s="21"/>
      <c r="H47" s="21"/>
      <c r="I47" s="21"/>
      <c r="J47" s="21"/>
      <c r="K47" s="21"/>
      <c r="L47" s="21"/>
    </row>
    <row r="48" spans="1:12" ht="15">
      <c r="A48" s="213"/>
      <c r="B48" s="26" t="s">
        <v>1287</v>
      </c>
      <c r="C48" s="21" t="s">
        <v>651</v>
      </c>
      <c r="D48" s="28"/>
      <c r="E48" s="28"/>
      <c r="F48" s="28"/>
      <c r="G48" s="21"/>
      <c r="H48" s="21"/>
      <c r="I48" s="21"/>
      <c r="J48" s="21"/>
      <c r="K48" s="21"/>
      <c r="L48" s="21"/>
    </row>
    <row r="49" spans="1:12" ht="15">
      <c r="A49" s="213"/>
      <c r="B49" s="26" t="s">
        <v>1289</v>
      </c>
      <c r="C49" s="21" t="s">
        <v>652</v>
      </c>
      <c r="D49" s="28"/>
      <c r="E49" s="28"/>
      <c r="F49" s="28"/>
      <c r="G49" s="21"/>
      <c r="H49" s="21"/>
      <c r="I49" s="21"/>
      <c r="J49" s="21"/>
      <c r="K49" s="21"/>
      <c r="L49" s="21"/>
    </row>
    <row r="50" spans="1:12" ht="15">
      <c r="A50" s="213" t="s">
        <v>637</v>
      </c>
      <c r="B50" s="21"/>
      <c r="C50" s="21" t="s">
        <v>653</v>
      </c>
      <c r="D50" s="28"/>
      <c r="E50" s="28"/>
      <c r="F50" s="28"/>
      <c r="G50" s="21"/>
      <c r="H50" s="21"/>
      <c r="I50" s="21"/>
      <c r="J50" s="21"/>
      <c r="K50" s="21"/>
      <c r="L50" s="21"/>
    </row>
    <row r="51" spans="1:12" ht="15">
      <c r="A51" s="213"/>
      <c r="B51" s="21"/>
      <c r="C51" s="21" t="s">
        <v>946</v>
      </c>
      <c r="D51" s="28"/>
      <c r="E51" s="28"/>
      <c r="F51" s="28"/>
      <c r="G51" s="21"/>
      <c r="H51" s="21"/>
      <c r="I51" s="21"/>
      <c r="J51" s="21"/>
      <c r="K51" s="21"/>
      <c r="L51" s="21"/>
    </row>
    <row r="52" spans="1:12" ht="15.75">
      <c r="A52" s="214" t="s">
        <v>1286</v>
      </c>
      <c r="B52" s="24"/>
      <c r="C52" s="22" t="s">
        <v>863</v>
      </c>
      <c r="D52" s="61">
        <f aca="true" t="shared" si="1" ref="D52:L52">SUM(D40:D51)</f>
        <v>9.6</v>
      </c>
      <c r="E52" s="61">
        <f t="shared" si="1"/>
        <v>8.24</v>
      </c>
      <c r="F52" s="61">
        <f t="shared" si="1"/>
        <v>11.36</v>
      </c>
      <c r="G52" s="61">
        <f t="shared" si="1"/>
        <v>59.22</v>
      </c>
      <c r="H52" s="61">
        <f t="shared" si="1"/>
        <v>88.69</v>
      </c>
      <c r="I52" s="61">
        <f t="shared" si="1"/>
        <v>176.26</v>
      </c>
      <c r="J52" s="61">
        <f t="shared" si="1"/>
        <v>199.31</v>
      </c>
      <c r="K52" s="28">
        <f t="shared" si="1"/>
        <v>237.07868637532016</v>
      </c>
      <c r="L52" s="28">
        <f t="shared" si="1"/>
        <v>16.728450000000002</v>
      </c>
    </row>
    <row r="53" spans="1:12" ht="15.75">
      <c r="A53" s="214" t="s">
        <v>1024</v>
      </c>
      <c r="B53" s="21"/>
      <c r="C53" s="22" t="s">
        <v>1016</v>
      </c>
      <c r="D53" s="61" t="e">
        <f aca="true" t="shared" si="2" ref="D53:K53">D34+D52</f>
        <v>#REF!</v>
      </c>
      <c r="E53" s="61" t="e">
        <f t="shared" si="2"/>
        <v>#REF!</v>
      </c>
      <c r="F53" s="61" t="e">
        <f t="shared" si="2"/>
        <v>#REF!</v>
      </c>
      <c r="G53" s="61">
        <f t="shared" si="2"/>
        <v>794.2678827486726</v>
      </c>
      <c r="H53" s="61">
        <f t="shared" si="2"/>
        <v>605.8934522</v>
      </c>
      <c r="I53" s="61">
        <f t="shared" si="2"/>
        <v>667.1569612</v>
      </c>
      <c r="J53" s="61">
        <f t="shared" si="2"/>
        <v>728.0084548</v>
      </c>
      <c r="K53" s="442">
        <f t="shared" si="2"/>
        <v>868.6076001381402</v>
      </c>
      <c r="L53" s="28">
        <f>L34+L52</f>
        <v>825.7066644717871</v>
      </c>
    </row>
    <row r="54" spans="1:12" ht="15.75">
      <c r="A54" s="214" t="s">
        <v>1023</v>
      </c>
      <c r="B54" s="21"/>
      <c r="C54" s="22" t="s">
        <v>1245</v>
      </c>
      <c r="D54" s="61"/>
      <c r="E54" s="61"/>
      <c r="F54" s="28">
        <f>60.07*14%</f>
        <v>8.4098</v>
      </c>
      <c r="G54" s="28">
        <f>60.07*14%</f>
        <v>8.4098</v>
      </c>
      <c r="H54" s="28">
        <f>88.12*15.5%</f>
        <v>13.6586</v>
      </c>
      <c r="I54" s="28">
        <f>160.07*15.5%</f>
        <v>24.81085</v>
      </c>
      <c r="J54" s="28">
        <f>203.07*15.5%</f>
        <v>31.475849999999998</v>
      </c>
      <c r="K54" s="442">
        <f>(203.07+50)*19.38%</f>
        <v>49.044965999999995</v>
      </c>
      <c r="L54" s="442">
        <f>(203.07+50)*19.38%</f>
        <v>49.044965999999995</v>
      </c>
    </row>
    <row r="55" spans="1:12" ht="15.75">
      <c r="A55" s="214" t="s">
        <v>1026</v>
      </c>
      <c r="B55" s="21"/>
      <c r="C55" s="37" t="s">
        <v>1027</v>
      </c>
      <c r="D55" s="28"/>
      <c r="E55" s="28"/>
      <c r="F55" s="28"/>
      <c r="G55" s="21"/>
      <c r="H55" s="21"/>
      <c r="I55" s="21"/>
      <c r="J55" s="21"/>
      <c r="K55" s="21"/>
      <c r="L55" s="21"/>
    </row>
    <row r="56" spans="1:13" ht="15.75">
      <c r="A56" s="213" t="s">
        <v>1028</v>
      </c>
      <c r="B56" s="21"/>
      <c r="C56" s="37" t="s">
        <v>1029</v>
      </c>
      <c r="D56" s="61">
        <f>'TRF-6'!D21</f>
        <v>13.8770817</v>
      </c>
      <c r="E56" s="61">
        <f>'TRF-6'!E21</f>
        <v>18.084</v>
      </c>
      <c r="F56" s="61">
        <f>'TRF-6'!F21</f>
        <v>16.78578</v>
      </c>
      <c r="G56" s="61">
        <f>'TRF-6'!G22</f>
        <v>7.32045</v>
      </c>
      <c r="H56" s="61">
        <f>'TRF-6'!H22</f>
        <v>27.193575000000003</v>
      </c>
      <c r="I56" s="61">
        <f>'TRF-6'!I25</f>
        <v>25.5</v>
      </c>
      <c r="J56" s="61">
        <f>'TRF-6'!J25</f>
        <v>38.18000000000001</v>
      </c>
      <c r="K56" s="442">
        <f>'TRF-6'!K25</f>
        <v>12</v>
      </c>
      <c r="L56" s="442">
        <f>'TRF-6'!L25</f>
        <v>12</v>
      </c>
      <c r="M56" s="504"/>
    </row>
    <row r="57" spans="1:12" ht="15.75">
      <c r="A57" s="213"/>
      <c r="B57" s="21"/>
      <c r="C57" s="37" t="s">
        <v>1030</v>
      </c>
      <c r="D57" s="61" t="e">
        <f aca="true" t="shared" si="3" ref="D57:J57">D53+D54+D55-D56</f>
        <v>#REF!</v>
      </c>
      <c r="E57" s="61" t="e">
        <f t="shared" si="3"/>
        <v>#REF!</v>
      </c>
      <c r="F57" s="61" t="e">
        <f t="shared" si="3"/>
        <v>#REF!</v>
      </c>
      <c r="G57" s="61">
        <f t="shared" si="3"/>
        <v>795.3572327486726</v>
      </c>
      <c r="H57" s="61">
        <f t="shared" si="3"/>
        <v>592.3584771999999</v>
      </c>
      <c r="I57" s="61">
        <f t="shared" si="3"/>
        <v>666.4678111999999</v>
      </c>
      <c r="J57" s="61">
        <f t="shared" si="3"/>
        <v>721.3043048</v>
      </c>
      <c r="K57" s="61">
        <f>K53+K54+K55-K56</f>
        <v>905.6525661381403</v>
      </c>
      <c r="L57" s="61">
        <f>L53+L54+L55-L56</f>
        <v>862.7516304717872</v>
      </c>
    </row>
    <row r="58" spans="4:7" ht="15">
      <c r="D58" s="36"/>
      <c r="E58" s="36"/>
      <c r="F58" s="36"/>
      <c r="G58" s="36"/>
    </row>
    <row r="59" spans="4:10" ht="15">
      <c r="D59" s="36"/>
      <c r="E59" s="36"/>
      <c r="F59" s="36"/>
      <c r="G59" s="36"/>
      <c r="J59" s="36"/>
    </row>
    <row r="60" spans="1:7" ht="48" customHeight="1" hidden="1">
      <c r="A60" s="566" t="s">
        <v>60</v>
      </c>
      <c r="B60" s="566"/>
      <c r="C60" s="566"/>
      <c r="D60" s="566"/>
      <c r="E60" s="566"/>
      <c r="F60" s="566"/>
      <c r="G60" s="207"/>
    </row>
    <row r="65" spans="3:10" ht="15">
      <c r="C65" s="30" t="s">
        <v>22</v>
      </c>
      <c r="J65" s="447">
        <f>15.5%/(1-20.00775%)</f>
        <v>0.1937687713497245</v>
      </c>
    </row>
    <row r="71" ht="15">
      <c r="C71" s="36">
        <f>ROUND(L57,2)</f>
        <v>862.75</v>
      </c>
    </row>
    <row r="72" ht="15">
      <c r="C72" s="505">
        <f>(C71-0.01)*10^7</f>
        <v>8627400000</v>
      </c>
    </row>
    <row r="73" ht="15">
      <c r="C73" s="505">
        <f>26133*10^6</f>
        <v>26133000000</v>
      </c>
    </row>
    <row r="75" ht="15">
      <c r="C75" s="506">
        <f>C72/C73</f>
        <v>0.33013431293766504</v>
      </c>
    </row>
  </sheetData>
  <sheetProtection/>
  <mergeCells count="3">
    <mergeCell ref="A39:B39"/>
    <mergeCell ref="A2:C2"/>
    <mergeCell ref="A60:F60"/>
  </mergeCells>
  <printOptions/>
  <pageMargins left="1.05" right="0.75" top="0.63" bottom="0.45" header="0.48" footer="0.27"/>
  <pageSetup fitToHeight="1" fitToWidth="1" horizontalDpi="600" verticalDpi="600" orientation="portrait" paperSize="9" scale="73" r:id="rId1"/>
  <headerFooter alignWithMargins="0">
    <oddFooter>&amp;L&amp;F-&amp;A&amp;CPage-&amp;P of &amp;P&amp;R&amp;D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A44">
      <selection activeCell="L48" sqref="L48"/>
    </sheetView>
  </sheetViews>
  <sheetFormatPr defaultColWidth="14.7109375" defaultRowHeight="12.75"/>
  <cols>
    <col min="1" max="1" width="4.7109375" style="148" customWidth="1"/>
    <col min="2" max="2" width="6.57421875" style="148" customWidth="1"/>
    <col min="3" max="3" width="53.7109375" style="148" bestFit="1" customWidth="1"/>
    <col min="4" max="5" width="8.57421875" style="148" hidden="1" customWidth="1"/>
    <col min="6" max="6" width="12.8515625" style="148" hidden="1" customWidth="1"/>
    <col min="7" max="7" width="13.7109375" style="148" hidden="1" customWidth="1"/>
    <col min="8" max="8" width="11.7109375" style="148" hidden="1" customWidth="1"/>
    <col min="9" max="9" width="11.421875" style="148" hidden="1" customWidth="1"/>
    <col min="10" max="10" width="12.7109375" style="148" customWidth="1"/>
    <col min="11" max="12" width="14.140625" style="148" customWidth="1"/>
    <col min="13" max="13" width="13.57421875" style="148" customWidth="1"/>
    <col min="14" max="16384" width="14.7109375" style="148" customWidth="1"/>
  </cols>
  <sheetData>
    <row r="1" spans="1:9" ht="12.75">
      <c r="A1" s="515" t="s">
        <v>1398</v>
      </c>
      <c r="E1" s="149"/>
      <c r="F1" s="149"/>
      <c r="G1" s="149"/>
      <c r="H1" s="149"/>
      <c r="I1" s="149"/>
    </row>
    <row r="2" spans="7:11" ht="12.75">
      <c r="G2" s="149"/>
      <c r="K2" s="149" t="s">
        <v>96</v>
      </c>
    </row>
    <row r="3" spans="1:2" ht="12.75">
      <c r="A3" s="149" t="s">
        <v>97</v>
      </c>
      <c r="B3" s="516"/>
    </row>
    <row r="4" spans="1:2" ht="12.75">
      <c r="A4" s="149" t="s">
        <v>99</v>
      </c>
      <c r="B4" s="516"/>
    </row>
    <row r="5" spans="1:10" ht="12.75">
      <c r="A5" s="516" t="s">
        <v>100</v>
      </c>
      <c r="B5" s="516"/>
      <c r="C5" s="516"/>
      <c r="G5" s="517"/>
      <c r="J5" s="517" t="s">
        <v>598</v>
      </c>
    </row>
    <row r="6" spans="6:7" ht="12.75">
      <c r="F6" s="517"/>
      <c r="G6" s="517"/>
    </row>
    <row r="7" spans="1:12" ht="27.75" customHeight="1">
      <c r="A7" s="11"/>
      <c r="B7" s="11"/>
      <c r="C7" s="152" t="s">
        <v>101</v>
      </c>
      <c r="D7" s="150" t="s">
        <v>1181</v>
      </c>
      <c r="E7" s="150" t="s">
        <v>177</v>
      </c>
      <c r="F7" s="150" t="s">
        <v>433</v>
      </c>
      <c r="G7" s="150" t="s">
        <v>608</v>
      </c>
      <c r="H7" s="150" t="s">
        <v>979</v>
      </c>
      <c r="I7" s="150" t="s">
        <v>883</v>
      </c>
      <c r="J7" s="150" t="s">
        <v>882</v>
      </c>
      <c r="K7" s="150" t="s">
        <v>1308</v>
      </c>
      <c r="L7" s="150" t="s">
        <v>881</v>
      </c>
    </row>
    <row r="8" spans="1:12" ht="12.75">
      <c r="A8" s="11"/>
      <c r="B8" s="11"/>
      <c r="C8" s="152"/>
      <c r="D8" s="150"/>
      <c r="E8" s="150"/>
      <c r="F8" s="150"/>
      <c r="G8" s="150"/>
      <c r="H8" s="150"/>
      <c r="I8" s="150"/>
      <c r="J8" s="150"/>
      <c r="K8" s="150"/>
      <c r="L8" s="150"/>
    </row>
    <row r="9" spans="1:12" ht="12.75">
      <c r="A9" s="10" t="s">
        <v>102</v>
      </c>
      <c r="B9" s="190" t="s">
        <v>654</v>
      </c>
      <c r="C9" s="518" t="s">
        <v>1246</v>
      </c>
      <c r="D9" s="58">
        <v>336.83414450000004</v>
      </c>
      <c r="E9" s="58">
        <f>'MU Handled '!I8</f>
        <v>332.55135023</v>
      </c>
      <c r="F9" s="58">
        <f>'MU Handled '!M8</f>
        <v>378.63232</v>
      </c>
      <c r="G9" s="58">
        <f>'MU Handled '!O8</f>
        <v>394.59272999999996</v>
      </c>
      <c r="H9" s="58">
        <f>'MU Handled '!Q8</f>
        <v>400.39478999999994</v>
      </c>
      <c r="I9" s="58">
        <f>'MU Handled '!T8</f>
        <v>496.76367999999997</v>
      </c>
      <c r="J9" s="58">
        <f>'MU Handled '!V8</f>
        <v>531.4356779999999</v>
      </c>
      <c r="K9" s="58">
        <f>'MU Handled '!X8</f>
        <v>560.6228429500001</v>
      </c>
      <c r="L9" s="58">
        <f>'MU Handled '!Z8</f>
        <v>628.125</v>
      </c>
    </row>
    <row r="10" spans="1:12" ht="12.75">
      <c r="A10" s="11"/>
      <c r="B10" s="190"/>
      <c r="C10" s="519" t="s">
        <v>103</v>
      </c>
      <c r="D10" s="58"/>
      <c r="E10" s="58"/>
      <c r="F10" s="58"/>
      <c r="G10" s="58"/>
      <c r="H10" s="58"/>
      <c r="I10" s="58"/>
      <c r="J10" s="58"/>
      <c r="K10" s="58"/>
      <c r="L10" s="58"/>
    </row>
    <row r="11" spans="1:12" ht="12.75">
      <c r="A11" s="11"/>
      <c r="B11" s="190"/>
      <c r="C11" s="518" t="s">
        <v>1251</v>
      </c>
      <c r="D11" s="58">
        <f aca="true" t="shared" si="0" ref="D11:L11">D9-D10</f>
        <v>336.83414450000004</v>
      </c>
      <c r="E11" s="58">
        <f t="shared" si="0"/>
        <v>332.55135023</v>
      </c>
      <c r="F11" s="58">
        <f t="shared" si="0"/>
        <v>378.63232</v>
      </c>
      <c r="G11" s="58">
        <f t="shared" si="0"/>
        <v>394.59272999999996</v>
      </c>
      <c r="H11" s="58">
        <f t="shared" si="0"/>
        <v>400.39478999999994</v>
      </c>
      <c r="I11" s="58">
        <f t="shared" si="0"/>
        <v>496.76367999999997</v>
      </c>
      <c r="J11" s="58">
        <f>J9-J10</f>
        <v>531.4356779999999</v>
      </c>
      <c r="K11" s="58">
        <f t="shared" si="0"/>
        <v>560.6228429500001</v>
      </c>
      <c r="L11" s="58">
        <f t="shared" si="0"/>
        <v>628.125</v>
      </c>
    </row>
    <row r="12" spans="1:12" ht="25.5">
      <c r="A12" s="11"/>
      <c r="B12" s="190"/>
      <c r="C12" s="518" t="s">
        <v>1252</v>
      </c>
      <c r="D12" s="58"/>
      <c r="E12" s="58"/>
      <c r="F12" s="58"/>
      <c r="G12" s="58"/>
      <c r="H12" s="58"/>
      <c r="I12" s="58"/>
      <c r="J12" s="58"/>
      <c r="K12" s="58"/>
      <c r="L12" s="58"/>
    </row>
    <row r="13" spans="1:12" ht="12.75">
      <c r="A13" s="11"/>
      <c r="B13" s="190"/>
      <c r="C13" s="518" t="s">
        <v>120</v>
      </c>
      <c r="D13" s="58"/>
      <c r="E13" s="58">
        <v>0</v>
      </c>
      <c r="F13" s="58"/>
      <c r="G13" s="58"/>
      <c r="H13" s="58"/>
      <c r="I13" s="58"/>
      <c r="J13" s="58"/>
      <c r="K13" s="58"/>
      <c r="L13" s="58"/>
    </row>
    <row r="14" spans="1:12" ht="12.75">
      <c r="A14" s="11"/>
      <c r="B14" s="190"/>
      <c r="C14" s="518" t="s">
        <v>1379</v>
      </c>
      <c r="D14" s="58">
        <v>4.040093525</v>
      </c>
      <c r="E14" s="58">
        <f>'MU Handled '!I9</f>
        <v>0.35112</v>
      </c>
      <c r="F14" s="58">
        <f>'MU Handled '!M9</f>
        <v>1.9239000000000002</v>
      </c>
      <c r="G14" s="58">
        <f>'MU Handled '!O9</f>
        <v>3.7644599999999997</v>
      </c>
      <c r="H14" s="58">
        <f>'MU Handled '!Q9</f>
        <v>5.63545</v>
      </c>
      <c r="I14" s="58">
        <f>'MU Handled '!T9</f>
        <v>8.02948</v>
      </c>
      <c r="J14" s="58">
        <f>'MU Handled '!V9</f>
        <v>5.58114085</v>
      </c>
      <c r="K14" s="58">
        <f>'MU Handled '!X9</f>
        <v>16.5876092</v>
      </c>
      <c r="L14" s="58">
        <f>'MU Handled '!Z9</f>
        <v>2.5</v>
      </c>
    </row>
    <row r="15" spans="1:12" ht="12.75">
      <c r="A15" s="11"/>
      <c r="B15" s="190" t="s">
        <v>655</v>
      </c>
      <c r="C15" s="518" t="s">
        <v>1253</v>
      </c>
      <c r="D15" s="58"/>
      <c r="E15" s="224">
        <f>(3800*12)/10^7</f>
        <v>0.00456</v>
      </c>
      <c r="F15" s="224">
        <f>(3800*12)/10^7</f>
        <v>0.00456</v>
      </c>
      <c r="G15" s="224">
        <f>(3800*12)/10^7</f>
        <v>0.00456</v>
      </c>
      <c r="H15" s="224">
        <v>0</v>
      </c>
      <c r="I15" s="224">
        <v>0</v>
      </c>
      <c r="J15" s="224">
        <v>0</v>
      </c>
      <c r="K15" s="224">
        <v>0</v>
      </c>
      <c r="L15" s="224">
        <v>0</v>
      </c>
    </row>
    <row r="16" spans="1:12" ht="12.75" hidden="1">
      <c r="A16" s="11"/>
      <c r="B16" s="11" t="s">
        <v>656</v>
      </c>
      <c r="C16" s="518" t="s">
        <v>121</v>
      </c>
      <c r="D16" s="58"/>
      <c r="E16" s="58"/>
      <c r="F16" s="58"/>
      <c r="G16" s="58"/>
      <c r="H16" s="58"/>
      <c r="I16" s="58"/>
      <c r="J16" s="58"/>
      <c r="K16" s="58"/>
      <c r="L16" s="58"/>
    </row>
    <row r="17" spans="1:12" ht="12.75">
      <c r="A17" s="11"/>
      <c r="B17" s="11" t="s">
        <v>656</v>
      </c>
      <c r="C17" s="518" t="s">
        <v>122</v>
      </c>
      <c r="D17" s="58"/>
      <c r="E17" s="58"/>
      <c r="F17" s="58"/>
      <c r="G17" s="58"/>
      <c r="H17" s="58"/>
      <c r="I17" s="58"/>
      <c r="J17" s="58"/>
      <c r="K17" s="58"/>
      <c r="L17" s="58"/>
    </row>
    <row r="18" spans="1:12" ht="12.75">
      <c r="A18" s="11"/>
      <c r="B18" s="11" t="s">
        <v>657</v>
      </c>
      <c r="C18" s="518" t="s">
        <v>123</v>
      </c>
      <c r="D18" s="58"/>
      <c r="E18" s="58"/>
      <c r="F18" s="58"/>
      <c r="G18" s="58"/>
      <c r="H18" s="58"/>
      <c r="I18" s="58"/>
      <c r="J18" s="58"/>
      <c r="K18" s="58"/>
      <c r="L18" s="58"/>
    </row>
    <row r="19" spans="1:12" ht="12.75">
      <c r="A19" s="11"/>
      <c r="B19" s="11" t="s">
        <v>658</v>
      </c>
      <c r="C19" s="518" t="s">
        <v>124</v>
      </c>
      <c r="D19" s="58"/>
      <c r="E19" s="58"/>
      <c r="F19" s="58"/>
      <c r="G19" s="58"/>
      <c r="H19" s="58"/>
      <c r="I19" s="58"/>
      <c r="J19" s="58"/>
      <c r="K19" s="58"/>
      <c r="L19" s="58"/>
    </row>
    <row r="20" spans="1:12" ht="36" customHeight="1">
      <c r="A20" s="11"/>
      <c r="B20" s="190" t="s">
        <v>659</v>
      </c>
      <c r="C20" s="518" t="s">
        <v>1254</v>
      </c>
      <c r="D20" s="58"/>
      <c r="E20" s="58"/>
      <c r="F20" s="58"/>
      <c r="G20" s="58"/>
      <c r="H20" s="58"/>
      <c r="I20" s="58"/>
      <c r="J20" s="58"/>
      <c r="K20" s="58"/>
      <c r="L20" s="58"/>
    </row>
    <row r="21" spans="1:12" ht="12.75">
      <c r="A21" s="11"/>
      <c r="B21" s="190" t="s">
        <v>125</v>
      </c>
      <c r="C21" s="518" t="s">
        <v>180</v>
      </c>
      <c r="D21" s="58">
        <v>13.8770817</v>
      </c>
      <c r="E21" s="58">
        <f>'MU Handled '!I11</f>
        <v>18.084</v>
      </c>
      <c r="F21" s="58">
        <f>'MU Handled '!M11</f>
        <v>16.78578</v>
      </c>
      <c r="G21" s="58">
        <f>'MU Handled '!O11</f>
        <v>7.460669999999999</v>
      </c>
      <c r="H21" s="58">
        <f>'MU Handled '!Q11</f>
        <v>4.829594999999999</v>
      </c>
      <c r="I21" s="58">
        <f>'MU Handled '!T11</f>
        <v>7.183244999999999</v>
      </c>
      <c r="J21" s="58">
        <f>'MU Handled '!V11</f>
        <v>8.9119903</v>
      </c>
      <c r="K21" s="58">
        <f>'MU Handled '!X11</f>
        <v>14.3568752</v>
      </c>
      <c r="L21" s="58">
        <f>'MU Handled '!Z11</f>
        <v>7.8</v>
      </c>
    </row>
    <row r="22" spans="1:12" ht="12.75">
      <c r="A22" s="11"/>
      <c r="B22" s="190" t="s">
        <v>218</v>
      </c>
      <c r="C22" s="518" t="s">
        <v>179</v>
      </c>
      <c r="D22" s="58">
        <v>7.319999999999993</v>
      </c>
      <c r="E22" s="58">
        <f>'MU Handled '!I12</f>
        <v>4.3597545774999995</v>
      </c>
      <c r="F22" s="58">
        <f>'MU Handled '!M12</f>
        <v>2.40625</v>
      </c>
      <c r="G22" s="58">
        <f>'MU Handled '!O12</f>
        <v>7.32045</v>
      </c>
      <c r="H22" s="58">
        <f>'MU Handled '!Q12</f>
        <v>27.193575000000003</v>
      </c>
      <c r="I22" s="58">
        <f>'MU Handled '!T12</f>
        <v>28.83</v>
      </c>
      <c r="J22" s="58">
        <f>'MU Handled '!V12</f>
        <v>7.8732</v>
      </c>
      <c r="K22" s="58">
        <f>'MU Handled '!X12</f>
        <v>0</v>
      </c>
      <c r="L22" s="58">
        <f>'MU Handled '!Y12</f>
        <v>0</v>
      </c>
    </row>
    <row r="23" spans="1:12" ht="12.75">
      <c r="A23" s="11"/>
      <c r="B23" s="190" t="s">
        <v>220</v>
      </c>
      <c r="C23" s="518" t="s">
        <v>949</v>
      </c>
      <c r="D23" s="58">
        <v>0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  <c r="L23" s="58">
        <v>0</v>
      </c>
    </row>
    <row r="24" spans="1:12" ht="12.75">
      <c r="A24" s="11"/>
      <c r="B24" s="190" t="s">
        <v>221</v>
      </c>
      <c r="C24" s="518" t="s">
        <v>181</v>
      </c>
      <c r="D24" s="58">
        <v>0</v>
      </c>
      <c r="E24" s="58">
        <v>0</v>
      </c>
      <c r="F24" s="58"/>
      <c r="G24" s="58"/>
      <c r="H24" s="58"/>
      <c r="I24" s="58"/>
      <c r="J24" s="58"/>
      <c r="K24" s="58"/>
      <c r="L24" s="58"/>
    </row>
    <row r="25" spans="1:12" ht="12.75">
      <c r="A25" s="11"/>
      <c r="B25" s="190" t="s">
        <v>222</v>
      </c>
      <c r="C25" s="518" t="s">
        <v>950</v>
      </c>
      <c r="D25" s="58">
        <v>20.29</v>
      </c>
      <c r="E25" s="58">
        <v>16.86</v>
      </c>
      <c r="F25" s="58">
        <v>28.21</v>
      </c>
      <c r="G25" s="58">
        <v>36.84</v>
      </c>
      <c r="H25" s="58">
        <v>136.62</v>
      </c>
      <c r="I25" s="58">
        <f>'MU Handled '!T14</f>
        <v>25.5</v>
      </c>
      <c r="J25" s="58">
        <f>'MU Handled '!V14+8.97+21.44</f>
        <v>38.18000000000001</v>
      </c>
      <c r="K25" s="58">
        <f>'MU Handled '!X14</f>
        <v>12</v>
      </c>
      <c r="L25" s="58">
        <f>'MU Handled '!Z14</f>
        <v>12</v>
      </c>
    </row>
    <row r="26" spans="1:12" ht="12.75">
      <c r="A26" s="11"/>
      <c r="B26" s="11"/>
      <c r="C26" s="518" t="s">
        <v>182</v>
      </c>
      <c r="D26" s="43">
        <f aca="true" t="shared" si="1" ref="D26:L26">SUM(D11:D25)</f>
        <v>382.36131972500004</v>
      </c>
      <c r="E26" s="43">
        <f t="shared" si="1"/>
        <v>372.21078480750003</v>
      </c>
      <c r="F26" s="43">
        <f t="shared" si="1"/>
        <v>427.96281</v>
      </c>
      <c r="G26" s="43">
        <f t="shared" si="1"/>
        <v>449.98286999999993</v>
      </c>
      <c r="H26" s="43">
        <f t="shared" si="1"/>
        <v>574.6734099999999</v>
      </c>
      <c r="I26" s="43">
        <f t="shared" si="1"/>
        <v>566.3064049999999</v>
      </c>
      <c r="J26" s="43">
        <f t="shared" si="1"/>
        <v>591.9820091499998</v>
      </c>
      <c r="K26" s="43">
        <f t="shared" si="1"/>
        <v>603.56732735</v>
      </c>
      <c r="L26" s="43">
        <f t="shared" si="1"/>
        <v>650.425</v>
      </c>
    </row>
    <row r="27" spans="1:12" ht="12.75" hidden="1">
      <c r="A27" s="11"/>
      <c r="B27" s="11"/>
      <c r="C27" s="518"/>
      <c r="D27" s="58"/>
      <c r="E27" s="58"/>
      <c r="F27" s="58"/>
      <c r="G27" s="58"/>
      <c r="H27" s="58"/>
      <c r="I27" s="58"/>
      <c r="J27" s="58"/>
      <c r="K27" s="58"/>
      <c r="L27" s="58"/>
    </row>
    <row r="28" spans="1:12" ht="12.75">
      <c r="A28" s="10" t="s">
        <v>660</v>
      </c>
      <c r="B28" s="152"/>
      <c r="C28" s="520" t="s">
        <v>183</v>
      </c>
      <c r="D28" s="58"/>
      <c r="E28" s="58"/>
      <c r="F28" s="58"/>
      <c r="G28" s="58"/>
      <c r="H28" s="58"/>
      <c r="I28" s="58"/>
      <c r="J28" s="58"/>
      <c r="K28" s="58"/>
      <c r="L28" s="58"/>
    </row>
    <row r="29" spans="1:12" ht="12.75">
      <c r="A29" s="11"/>
      <c r="B29" s="11" t="s">
        <v>654</v>
      </c>
      <c r="C29" s="518" t="s">
        <v>1177</v>
      </c>
      <c r="D29" s="58">
        <v>0</v>
      </c>
      <c r="E29" s="58">
        <v>0</v>
      </c>
      <c r="F29" s="58"/>
      <c r="G29" s="58"/>
      <c r="H29" s="58"/>
      <c r="I29" s="58"/>
      <c r="J29" s="58"/>
      <c r="K29" s="58"/>
      <c r="L29" s="58"/>
    </row>
    <row r="30" spans="1:12" ht="12.75">
      <c r="A30" s="11"/>
      <c r="B30" s="11" t="s">
        <v>655</v>
      </c>
      <c r="C30" s="518" t="s">
        <v>944</v>
      </c>
      <c r="D30" s="58"/>
      <c r="E30" s="58"/>
      <c r="F30" s="58"/>
      <c r="G30" s="58"/>
      <c r="H30" s="58"/>
      <c r="I30" s="58"/>
      <c r="J30" s="58"/>
      <c r="K30" s="58"/>
      <c r="L30" s="58"/>
    </row>
    <row r="31" spans="1:12" ht="12.75">
      <c r="A31" s="11"/>
      <c r="B31" s="11"/>
      <c r="C31" s="518" t="s">
        <v>1178</v>
      </c>
      <c r="D31" s="58" t="e">
        <f>'TRF-13'!D52-D47-D49</f>
        <v>#REF!</v>
      </c>
      <c r="E31" s="43">
        <f>'TRF-13'!F52-E47-E49</f>
        <v>63.089850000000006</v>
      </c>
      <c r="F31" s="58">
        <f>'TRF-13'!G52-F47-F49</f>
        <v>102.23000000000002</v>
      </c>
      <c r="G31" s="58">
        <f>'TRF-13'!H52-G47-G49</f>
        <v>89.67999999999998</v>
      </c>
      <c r="H31" s="58">
        <f>'TRF-13'!I52-H47-H49</f>
        <v>113.98000000000005</v>
      </c>
      <c r="I31" s="58">
        <f>'TRF-13'!J52-I47-I49</f>
        <v>91.69</v>
      </c>
      <c r="J31" s="58">
        <f>'TRF-13'!K52-J47-J49</f>
        <v>99.51999999999998</v>
      </c>
      <c r="K31" s="58">
        <f>'TRF-13'!L52-K47-K49</f>
        <v>140.00513399999997</v>
      </c>
      <c r="L31" s="58">
        <f>'TRF-13'!M52-L47-L49</f>
        <v>197.06182425999995</v>
      </c>
    </row>
    <row r="32" spans="1:12" ht="12.75">
      <c r="A32" s="11"/>
      <c r="B32" s="11"/>
      <c r="C32" s="518" t="s">
        <v>1179</v>
      </c>
      <c r="D32" s="58" t="e">
        <f>'TRF-14'!C29</f>
        <v>#REF!</v>
      </c>
      <c r="E32" s="43">
        <f>'TRF-14'!D29</f>
        <v>11.290000000000001</v>
      </c>
      <c r="F32" s="58">
        <f>'TRF-14'!E29</f>
        <v>16.490000000000002</v>
      </c>
      <c r="G32" s="58">
        <f>'TRF-14'!F29</f>
        <v>16.905026548672566</v>
      </c>
      <c r="H32" s="58">
        <f>'TRF-14'!G29</f>
        <v>26.14</v>
      </c>
      <c r="I32" s="58">
        <f>'TRF-14'!H29</f>
        <v>28.31</v>
      </c>
      <c r="J32" s="58">
        <f>'TRF-14'!I29</f>
        <v>45.7</v>
      </c>
      <c r="K32" s="58">
        <f>'TRF-14'!J29</f>
        <v>95.02</v>
      </c>
      <c r="L32" s="58">
        <f>'TRF-14'!K29</f>
        <v>108.9133</v>
      </c>
    </row>
    <row r="33" spans="1:12" ht="12.75">
      <c r="A33" s="11"/>
      <c r="B33" s="11"/>
      <c r="C33" s="518" t="s">
        <v>895</v>
      </c>
      <c r="D33" s="58" t="e">
        <f>'TRF-15'!C70-D34-D35-D40-D41-D42-D43-D48</f>
        <v>#REF!</v>
      </c>
      <c r="E33" s="58" t="e">
        <f>'TRF-15'!D70-E34-E35-E40-E41-E42-E43-E48</f>
        <v>#REF!</v>
      </c>
      <c r="F33" s="58" t="e">
        <f>'TRF-15'!E70-F34-F35-F40-F41-F42-F43-F48</f>
        <v>#REF!</v>
      </c>
      <c r="G33" s="58">
        <f>'TRF-15'!F70-G34-G35-G40-G41-G42-G43-G48</f>
        <v>16.988</v>
      </c>
      <c r="H33" s="58">
        <f>'TRF-15'!G70-H34-H35-H40-H41-H42-H43-H48</f>
        <v>-8.080000000000002</v>
      </c>
      <c r="I33" s="58">
        <f>'TRF-15'!H70-I34-I35-I40-I41-I42-I43-I48</f>
        <v>32.84</v>
      </c>
      <c r="J33" s="58">
        <f>'TRF-15'!I70-J34-J35-J40-J41-J42-J43-J48</f>
        <v>17.89</v>
      </c>
      <c r="K33" s="58">
        <f>'TRF-15'!J70-K34-K35-K40-K41-K42-K43-K48</f>
        <v>16.856099999999998</v>
      </c>
      <c r="L33" s="58">
        <f>'TRF-15'!K70-L34-L35-L40-L42-L43</f>
        <v>20.3441</v>
      </c>
    </row>
    <row r="34" spans="1:12" ht="25.5">
      <c r="A34" s="11"/>
      <c r="B34" s="11"/>
      <c r="C34" s="518" t="s">
        <v>211</v>
      </c>
      <c r="D34" s="58">
        <v>0</v>
      </c>
      <c r="E34" s="58">
        <v>0</v>
      </c>
      <c r="F34" s="58">
        <v>0</v>
      </c>
      <c r="G34" s="58">
        <v>0</v>
      </c>
      <c r="H34" s="58">
        <v>0</v>
      </c>
      <c r="I34" s="58">
        <v>0</v>
      </c>
      <c r="J34" s="58">
        <v>0</v>
      </c>
      <c r="K34" s="58">
        <v>0</v>
      </c>
      <c r="L34" s="58">
        <v>0</v>
      </c>
    </row>
    <row r="35" spans="1:12" ht="25.5">
      <c r="A35" s="11"/>
      <c r="B35" s="190" t="s">
        <v>656</v>
      </c>
      <c r="C35" s="518" t="s">
        <v>212</v>
      </c>
      <c r="D35" s="58" t="e">
        <f>'TRF-15'!C17</f>
        <v>#REF!</v>
      </c>
      <c r="E35" s="43" t="e">
        <f>'TRF-15'!D17</f>
        <v>#REF!</v>
      </c>
      <c r="F35" s="58" t="e">
        <f>'TRF-15'!E17</f>
        <v>#REF!</v>
      </c>
      <c r="G35" s="58">
        <f>'TRF-15'!F17</f>
        <v>0.49</v>
      </c>
      <c r="H35" s="58">
        <f>'TRF-15'!G17</f>
        <v>0.15</v>
      </c>
      <c r="I35" s="58">
        <f>'TRF-15'!H17</f>
        <v>0.18</v>
      </c>
      <c r="J35" s="58">
        <f>'TRF-15'!I17</f>
        <v>1.2000000000000002</v>
      </c>
      <c r="K35" s="58">
        <f>'TRF-15'!J17</f>
        <v>1.32</v>
      </c>
      <c r="L35" s="58">
        <f>'TRF-15'!K17</f>
        <v>1.4520000000000002</v>
      </c>
    </row>
    <row r="36" spans="1:12" ht="12.75">
      <c r="A36" s="11"/>
      <c r="B36" s="11" t="s">
        <v>657</v>
      </c>
      <c r="C36" s="518" t="s">
        <v>213</v>
      </c>
      <c r="D36" s="58"/>
      <c r="E36" s="58"/>
      <c r="F36" s="58"/>
      <c r="G36" s="58"/>
      <c r="H36" s="58"/>
      <c r="I36" s="58"/>
      <c r="J36" s="58"/>
      <c r="K36" s="58"/>
      <c r="L36" s="58"/>
    </row>
    <row r="37" spans="1:12" ht="12.75">
      <c r="A37" s="11"/>
      <c r="B37" s="190" t="s">
        <v>214</v>
      </c>
      <c r="C37" s="518" t="s">
        <v>544</v>
      </c>
      <c r="D37" s="58">
        <v>102.52</v>
      </c>
      <c r="E37" s="43">
        <v>116.23</v>
      </c>
      <c r="F37" s="58">
        <v>110.65</v>
      </c>
      <c r="G37" s="58">
        <v>97.24</v>
      </c>
      <c r="H37" s="58">
        <v>59.34</v>
      </c>
      <c r="I37" s="58">
        <f>'TRF-3'!K89</f>
        <v>66.06</v>
      </c>
      <c r="J37" s="58">
        <f>'TRF-3'!K89</f>
        <v>66.06</v>
      </c>
      <c r="K37" s="58">
        <f>'TRF-3'!Q89</f>
        <v>93.71133476281999</v>
      </c>
      <c r="L37" s="58">
        <f>'TRF-3'!W89</f>
        <v>121.11156322388162</v>
      </c>
    </row>
    <row r="38" spans="1:12" ht="12.75">
      <c r="A38" s="11"/>
      <c r="B38" s="11" t="s">
        <v>215</v>
      </c>
      <c r="C38" s="518" t="s">
        <v>635</v>
      </c>
      <c r="D38" s="58">
        <v>0</v>
      </c>
      <c r="E38" s="58">
        <v>0</v>
      </c>
      <c r="F38" s="58">
        <v>0</v>
      </c>
      <c r="G38" s="58">
        <v>0</v>
      </c>
      <c r="H38" s="58">
        <v>0</v>
      </c>
      <c r="I38" s="58">
        <v>0</v>
      </c>
      <c r="J38" s="58">
        <v>0</v>
      </c>
      <c r="K38" s="58">
        <v>0</v>
      </c>
      <c r="L38" s="58">
        <v>0</v>
      </c>
    </row>
    <row r="39" spans="1:12" ht="12.75">
      <c r="A39" s="11"/>
      <c r="B39" s="11" t="s">
        <v>658</v>
      </c>
      <c r="C39" s="518" t="s">
        <v>1243</v>
      </c>
      <c r="D39" s="58">
        <v>0</v>
      </c>
      <c r="E39" s="58">
        <v>0</v>
      </c>
      <c r="F39" s="58">
        <v>0</v>
      </c>
      <c r="G39" s="58">
        <v>0</v>
      </c>
      <c r="H39" s="58">
        <v>0</v>
      </c>
      <c r="I39" s="58">
        <v>0</v>
      </c>
      <c r="J39" s="58">
        <v>0</v>
      </c>
      <c r="K39" s="58"/>
      <c r="L39" s="58">
        <f>'Intt on WC'!C11</f>
        <v>31.461643911856683</v>
      </c>
    </row>
    <row r="40" spans="1:12" ht="12.75">
      <c r="A40" s="11"/>
      <c r="B40" s="11" t="s">
        <v>659</v>
      </c>
      <c r="C40" s="518" t="s">
        <v>216</v>
      </c>
      <c r="D40" s="58" t="e">
        <f>'TRF-15'!C25</f>
        <v>#REF!</v>
      </c>
      <c r="E40" s="43">
        <f>'TRF-15'!D25</f>
        <v>0.13</v>
      </c>
      <c r="F40" s="58">
        <f>'TRF-15'!E25</f>
        <v>0.65</v>
      </c>
      <c r="G40" s="58">
        <f>'TRF-15'!F25</f>
        <v>0.6</v>
      </c>
      <c r="H40" s="58">
        <f>'TRF-15'!G25</f>
        <v>1.03</v>
      </c>
      <c r="I40" s="58">
        <f>'TRF-15'!H25</f>
        <v>1.07</v>
      </c>
      <c r="J40" s="58">
        <f>'TRF-15'!I25</f>
        <v>0.9899999999999999</v>
      </c>
      <c r="K40" s="58">
        <f>'TRF-15'!J25</f>
        <v>1.067</v>
      </c>
      <c r="L40" s="58">
        <f>'TRF-15'!K25</f>
        <v>1.1737</v>
      </c>
    </row>
    <row r="41" spans="1:12" ht="12.75">
      <c r="A41" s="11"/>
      <c r="B41" s="11" t="s">
        <v>125</v>
      </c>
      <c r="C41" s="518" t="s">
        <v>217</v>
      </c>
      <c r="D41" s="58">
        <v>0</v>
      </c>
      <c r="E41" s="58">
        <v>0</v>
      </c>
      <c r="F41" s="58">
        <v>0</v>
      </c>
      <c r="G41" s="58">
        <f>'TRF-9'!F23</f>
        <v>0.11</v>
      </c>
      <c r="H41" s="58">
        <f>'TRF-9'!G23</f>
        <v>33.53</v>
      </c>
      <c r="I41" s="58">
        <v>0</v>
      </c>
      <c r="J41" s="58">
        <v>0</v>
      </c>
      <c r="K41" s="58">
        <v>0</v>
      </c>
      <c r="L41" s="58">
        <f>'TRF-5'!L24</f>
        <v>0</v>
      </c>
    </row>
    <row r="42" spans="1:12" ht="12.75">
      <c r="A42" s="11"/>
      <c r="B42" s="11" t="s">
        <v>218</v>
      </c>
      <c r="C42" s="518" t="s">
        <v>219</v>
      </c>
      <c r="D42" s="58">
        <f>'TRF-15'!C28</f>
        <v>0.02</v>
      </c>
      <c r="E42" s="43">
        <f>'TRF-15'!D28</f>
        <v>0.03</v>
      </c>
      <c r="F42" s="58">
        <f>'TRF-15'!E28</f>
        <v>0.02</v>
      </c>
      <c r="G42" s="58">
        <f>'TRF-15'!F28</f>
        <v>0.04</v>
      </c>
      <c r="H42" s="58">
        <f>'TRF-15'!G28</f>
        <v>0.05</v>
      </c>
      <c r="I42" s="58">
        <f>'TRF-15'!H28</f>
        <v>0.04</v>
      </c>
      <c r="J42" s="58">
        <f>'TRF-15'!I28</f>
        <v>0.1</v>
      </c>
      <c r="K42" s="58">
        <f>'TRF-15'!J28</f>
        <v>0.11000000000000001</v>
      </c>
      <c r="L42" s="58">
        <f>'TRF-15'!K28</f>
        <v>0.12100000000000002</v>
      </c>
    </row>
    <row r="43" spans="1:12" ht="12.75">
      <c r="A43" s="11"/>
      <c r="B43" s="190" t="s">
        <v>220</v>
      </c>
      <c r="C43" s="518" t="s">
        <v>661</v>
      </c>
      <c r="D43" s="58">
        <v>0</v>
      </c>
      <c r="E43" s="58">
        <v>0</v>
      </c>
      <c r="F43" s="58">
        <v>0</v>
      </c>
      <c r="G43" s="58">
        <v>0</v>
      </c>
      <c r="H43" s="58">
        <v>0</v>
      </c>
      <c r="I43" s="58">
        <v>0</v>
      </c>
      <c r="J43" s="58">
        <v>0</v>
      </c>
      <c r="K43" s="58">
        <v>0</v>
      </c>
      <c r="L43" s="58">
        <v>0</v>
      </c>
    </row>
    <row r="44" spans="1:12" ht="12.75">
      <c r="A44" s="11"/>
      <c r="B44" s="11" t="s">
        <v>221</v>
      </c>
      <c r="C44" s="518" t="s">
        <v>565</v>
      </c>
      <c r="D44" s="58">
        <f>'TRF-23'!CN27</f>
        <v>95.2707</v>
      </c>
      <c r="E44" s="43">
        <v>98.64</v>
      </c>
      <c r="F44" s="58">
        <f>'TRF-23'!DF27</f>
        <v>108.54856999999998</v>
      </c>
      <c r="G44" s="58">
        <f>'TRF-23'!DO27</f>
        <v>109.8241352</v>
      </c>
      <c r="H44" s="58">
        <f>'TRF-23'!DX27</f>
        <v>108.0334522</v>
      </c>
      <c r="I44" s="58">
        <f>'TRF-23'!EG27+2.75</f>
        <v>128.4269612</v>
      </c>
      <c r="J44" s="58">
        <f>'TRF-23'!EG27</f>
        <v>125.6769612</v>
      </c>
      <c r="K44" s="58">
        <f>'TRF-23'!EP27</f>
        <v>151.32934500000002</v>
      </c>
      <c r="L44" s="58">
        <f>'TRF-23'!EY27</f>
        <v>172.85091640938234</v>
      </c>
    </row>
    <row r="45" spans="1:12" ht="12.75">
      <c r="A45" s="11"/>
      <c r="B45" s="11"/>
      <c r="C45" s="518" t="s">
        <v>1014</v>
      </c>
      <c r="D45" s="58"/>
      <c r="E45" s="58"/>
      <c r="F45" s="58">
        <v>0</v>
      </c>
      <c r="G45" s="58">
        <v>0</v>
      </c>
      <c r="H45" s="58">
        <v>0</v>
      </c>
      <c r="I45" s="58">
        <f>('TRF-3'!M95-I44)*0</f>
        <v>0</v>
      </c>
      <c r="J45" s="58">
        <f>('TRF-3'!S95-J44)*0</f>
        <v>0</v>
      </c>
      <c r="K45" s="58">
        <f>('TRF-3'!T95-K44)*0</f>
        <v>0</v>
      </c>
      <c r="L45" s="58">
        <f>('TRF-3'!U95-L44)*0</f>
        <v>0</v>
      </c>
    </row>
    <row r="46" spans="1:12" ht="12.75">
      <c r="A46" s="11"/>
      <c r="B46" s="11" t="s">
        <v>222</v>
      </c>
      <c r="C46" s="518" t="s">
        <v>1244</v>
      </c>
      <c r="D46" s="58">
        <v>0</v>
      </c>
      <c r="E46" s="58">
        <v>0</v>
      </c>
      <c r="F46" s="58">
        <v>0</v>
      </c>
      <c r="G46" s="58">
        <v>0</v>
      </c>
      <c r="H46" s="58">
        <v>0</v>
      </c>
      <c r="I46" s="58">
        <v>0.2</v>
      </c>
      <c r="J46" s="58">
        <v>0</v>
      </c>
      <c r="K46" s="58">
        <v>0.3</v>
      </c>
      <c r="L46" s="58">
        <v>0.3</v>
      </c>
    </row>
    <row r="47" spans="1:12" ht="12.75">
      <c r="A47" s="11"/>
      <c r="B47" s="190" t="s">
        <v>223</v>
      </c>
      <c r="C47" s="518" t="s">
        <v>224</v>
      </c>
      <c r="D47" s="58">
        <v>0</v>
      </c>
      <c r="E47" s="43">
        <f>'TRF-13'!F48</f>
        <v>41.73</v>
      </c>
      <c r="F47" s="58">
        <f>'TRF-13'!G48</f>
        <v>102.8</v>
      </c>
      <c r="G47" s="58">
        <f>'TRF-13'!H48</f>
        <v>402.58072100000004</v>
      </c>
      <c r="H47" s="58">
        <f>'TRF-13'!I48</f>
        <v>182.93</v>
      </c>
      <c r="I47" s="58">
        <f>'TRF-13'!J48</f>
        <v>141.98</v>
      </c>
      <c r="J47" s="58">
        <f>'TRF-13'!K48</f>
        <v>171.56</v>
      </c>
      <c r="K47" s="58">
        <f>'TRF-13'!L48</f>
        <v>129.79999999999998</v>
      </c>
      <c r="L47" s="58">
        <f>'TRF-13'!M48</f>
        <v>144.1266666666667</v>
      </c>
    </row>
    <row r="48" spans="1:13" ht="12.75">
      <c r="A48" s="11"/>
      <c r="B48" s="190" t="s">
        <v>225</v>
      </c>
      <c r="C48" s="518" t="s">
        <v>1110</v>
      </c>
      <c r="D48" s="58">
        <v>0</v>
      </c>
      <c r="E48" s="58">
        <v>0</v>
      </c>
      <c r="F48" s="58">
        <v>0</v>
      </c>
      <c r="G48" s="58">
        <v>0</v>
      </c>
      <c r="H48" s="58">
        <v>0</v>
      </c>
      <c r="I48" s="58">
        <v>0</v>
      </c>
      <c r="J48" s="58">
        <v>0</v>
      </c>
      <c r="K48" s="58">
        <v>2</v>
      </c>
      <c r="L48" s="58">
        <v>10.05</v>
      </c>
      <c r="M48" s="148" t="s">
        <v>758</v>
      </c>
    </row>
    <row r="49" spans="1:12" ht="12.75">
      <c r="A49" s="11"/>
      <c r="B49" s="11" t="s">
        <v>226</v>
      </c>
      <c r="C49" s="518" t="s">
        <v>1107</v>
      </c>
      <c r="D49" s="58">
        <v>0</v>
      </c>
      <c r="E49" s="58">
        <f>'TRF-13'!F22</f>
        <v>0</v>
      </c>
      <c r="F49" s="58">
        <f>'TRF-13'!G22</f>
        <v>0.54</v>
      </c>
      <c r="G49" s="58">
        <f>'TRF-13'!H22</f>
        <v>0.35</v>
      </c>
      <c r="H49" s="58">
        <f>'TRF-13'!I22</f>
        <v>0.1</v>
      </c>
      <c r="I49" s="58">
        <f>'TRF-13'!J22</f>
        <v>0.1</v>
      </c>
      <c r="J49" s="58">
        <f>'TRF-13'!K22</f>
        <v>0.0014936</v>
      </c>
      <c r="K49" s="58">
        <f>'TRF-13'!L22</f>
        <v>0.01</v>
      </c>
      <c r="L49" s="58">
        <f>'TRF-13'!M22</f>
        <v>0.0115</v>
      </c>
    </row>
    <row r="50" spans="1:12" ht="12.75">
      <c r="A50" s="11"/>
      <c r="B50" s="11" t="s">
        <v>227</v>
      </c>
      <c r="C50" s="518" t="s">
        <v>228</v>
      </c>
      <c r="D50" s="58">
        <f>-'[5]Profit &amp; Loss Accounts'!$D$23/10^7</f>
        <v>0.2286085</v>
      </c>
      <c r="E50" s="43">
        <v>0.23</v>
      </c>
      <c r="F50" s="58">
        <v>0.21</v>
      </c>
      <c r="G50" s="58">
        <v>0.24</v>
      </c>
      <c r="H50" s="58">
        <v>0</v>
      </c>
      <c r="I50" s="58">
        <v>0</v>
      </c>
      <c r="J50" s="58">
        <v>0</v>
      </c>
      <c r="K50" s="58">
        <v>0</v>
      </c>
      <c r="L50" s="58">
        <v>0</v>
      </c>
    </row>
    <row r="51" spans="1:12" ht="12.75">
      <c r="A51" s="11"/>
      <c r="B51" s="11" t="s">
        <v>323</v>
      </c>
      <c r="C51" s="518" t="s">
        <v>324</v>
      </c>
      <c r="D51" s="58"/>
      <c r="E51" s="43"/>
      <c r="F51" s="58"/>
      <c r="G51" s="58"/>
      <c r="H51" s="58"/>
      <c r="I51" s="58"/>
      <c r="J51" s="58">
        <v>62.86</v>
      </c>
      <c r="K51" s="58"/>
      <c r="L51" s="58"/>
    </row>
    <row r="52" spans="1:13" ht="12.75">
      <c r="A52" s="11"/>
      <c r="B52" s="152" t="s">
        <v>229</v>
      </c>
      <c r="C52" s="518"/>
      <c r="D52" s="43" t="e">
        <f aca="true" t="shared" si="2" ref="D52:L52">SUM(D29:D50)</f>
        <v>#REF!</v>
      </c>
      <c r="E52" s="43" t="e">
        <f t="shared" si="2"/>
        <v>#REF!</v>
      </c>
      <c r="F52" s="43" t="e">
        <f t="shared" si="2"/>
        <v>#REF!</v>
      </c>
      <c r="G52" s="43">
        <f t="shared" si="2"/>
        <v>735.0478827486726</v>
      </c>
      <c r="H52" s="43">
        <f t="shared" si="2"/>
        <v>517.2034522</v>
      </c>
      <c r="I52" s="43">
        <f t="shared" si="2"/>
        <v>490.89696119999996</v>
      </c>
      <c r="J52" s="43">
        <f>SUM(J29:J51)</f>
        <v>591.5584548</v>
      </c>
      <c r="K52" s="43">
        <f t="shared" si="2"/>
        <v>631.52891376282</v>
      </c>
      <c r="L52" s="43">
        <f t="shared" si="2"/>
        <v>808.9782144717872</v>
      </c>
      <c r="M52" s="151"/>
    </row>
    <row r="53" spans="1:12" ht="9" customHeight="1">
      <c r="A53" s="11"/>
      <c r="B53" s="11"/>
      <c r="C53" s="51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2.75">
      <c r="A54" s="10" t="s">
        <v>230</v>
      </c>
      <c r="B54" s="152"/>
      <c r="C54" s="518" t="s">
        <v>231</v>
      </c>
      <c r="D54" s="58"/>
      <c r="E54" s="58"/>
      <c r="F54" s="58"/>
      <c r="G54" s="58"/>
      <c r="H54" s="58"/>
      <c r="I54" s="58"/>
      <c r="J54" s="58"/>
      <c r="K54" s="58"/>
      <c r="L54" s="58"/>
    </row>
    <row r="55" spans="1:12" ht="12.75">
      <c r="A55" s="11"/>
      <c r="B55" s="11" t="s">
        <v>654</v>
      </c>
      <c r="C55" s="518" t="s">
        <v>232</v>
      </c>
      <c r="D55" s="58">
        <v>0</v>
      </c>
      <c r="E55" s="58">
        <v>0</v>
      </c>
      <c r="F55" s="58">
        <v>0</v>
      </c>
      <c r="G55" s="58">
        <v>49.23</v>
      </c>
      <c r="H55" s="58">
        <v>77.76</v>
      </c>
      <c r="I55" s="58">
        <v>160.07</v>
      </c>
      <c r="J55" s="58">
        <f>'TRF-5'!J40</f>
        <v>184.69</v>
      </c>
      <c r="K55" s="58">
        <f>'TRF-5'!K40</f>
        <v>222.43308637532016</v>
      </c>
      <c r="L55" s="58">
        <f>'TRF-5'!L40</f>
        <v>0</v>
      </c>
    </row>
    <row r="56" spans="1:12" ht="12.75">
      <c r="A56" s="11"/>
      <c r="B56" s="11" t="s">
        <v>655</v>
      </c>
      <c r="C56" s="518" t="s">
        <v>233</v>
      </c>
      <c r="D56" s="58"/>
      <c r="E56" s="58">
        <v>0</v>
      </c>
      <c r="F56" s="58">
        <v>0</v>
      </c>
      <c r="G56" s="58">
        <v>0</v>
      </c>
      <c r="H56" s="58">
        <v>0</v>
      </c>
      <c r="I56" s="58">
        <v>0</v>
      </c>
      <c r="J56" s="58">
        <v>0</v>
      </c>
      <c r="K56" s="58">
        <v>0</v>
      </c>
      <c r="L56" s="58">
        <v>0</v>
      </c>
    </row>
    <row r="57" spans="1:12" ht="25.5">
      <c r="A57" s="11"/>
      <c r="B57" s="190" t="s">
        <v>656</v>
      </c>
      <c r="C57" s="518" t="s">
        <v>127</v>
      </c>
      <c r="D57" s="58"/>
      <c r="E57" s="58"/>
      <c r="F57" s="58"/>
      <c r="G57" s="58"/>
      <c r="H57" s="58"/>
      <c r="I57" s="58"/>
      <c r="J57" s="58"/>
      <c r="K57" s="58"/>
      <c r="L57" s="58"/>
    </row>
    <row r="58" spans="1:12" ht="12.75">
      <c r="A58" s="11"/>
      <c r="B58" s="11" t="s">
        <v>657</v>
      </c>
      <c r="C58" s="518" t="s">
        <v>662</v>
      </c>
      <c r="D58" s="58">
        <v>9.6</v>
      </c>
      <c r="E58" s="43">
        <v>8.24</v>
      </c>
      <c r="F58" s="58">
        <v>11.36</v>
      </c>
      <c r="G58" s="58">
        <v>9.99</v>
      </c>
      <c r="H58" s="58">
        <v>10.93</v>
      </c>
      <c r="I58" s="58">
        <f>'TRF-22'!C14</f>
        <v>16.189999999999998</v>
      </c>
      <c r="J58" s="58">
        <f>'TRF-22'!C14-1.57</f>
        <v>14.619999999999997</v>
      </c>
      <c r="K58" s="58">
        <f>'TRF-22'!C23</f>
        <v>14.645600000000002</v>
      </c>
      <c r="L58" s="58">
        <f>'TRF-22'!C32</f>
        <v>16.728450000000002</v>
      </c>
    </row>
    <row r="59" spans="1:12" ht="12.75">
      <c r="A59" s="11"/>
      <c r="B59" s="11" t="s">
        <v>658</v>
      </c>
      <c r="C59" s="518" t="s">
        <v>650</v>
      </c>
      <c r="D59" s="58"/>
      <c r="E59" s="58"/>
      <c r="F59" s="58"/>
      <c r="G59" s="58"/>
      <c r="H59" s="58"/>
      <c r="I59" s="58"/>
      <c r="J59" s="58"/>
      <c r="K59" s="58"/>
      <c r="L59" s="58"/>
    </row>
    <row r="60" spans="1:12" ht="12.75">
      <c r="A60" s="11"/>
      <c r="B60" s="190" t="s">
        <v>128</v>
      </c>
      <c r="C60" s="518" t="s">
        <v>129</v>
      </c>
      <c r="D60" s="58"/>
      <c r="E60" s="58">
        <v>0</v>
      </c>
      <c r="F60" s="58">
        <v>0</v>
      </c>
      <c r="G60" s="58">
        <v>0</v>
      </c>
      <c r="H60" s="58">
        <v>0</v>
      </c>
      <c r="I60" s="58">
        <v>0</v>
      </c>
      <c r="J60" s="58">
        <v>0</v>
      </c>
      <c r="K60" s="58">
        <v>0</v>
      </c>
      <c r="L60" s="58">
        <v>0</v>
      </c>
    </row>
    <row r="61" spans="1:12" ht="12.75">
      <c r="A61" s="11"/>
      <c r="B61" s="11" t="s">
        <v>130</v>
      </c>
      <c r="C61" s="518" t="s">
        <v>131</v>
      </c>
      <c r="D61" s="58"/>
      <c r="E61" s="58">
        <v>0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58">
        <v>0</v>
      </c>
      <c r="L61" s="58">
        <v>0</v>
      </c>
    </row>
    <row r="62" spans="1:12" ht="12.75">
      <c r="A62" s="11"/>
      <c r="B62" s="190" t="s">
        <v>659</v>
      </c>
      <c r="C62" s="518" t="s">
        <v>132</v>
      </c>
      <c r="D62" s="58"/>
      <c r="E62" s="58">
        <v>0</v>
      </c>
      <c r="F62" s="58">
        <v>0</v>
      </c>
      <c r="G62" s="58">
        <v>0</v>
      </c>
      <c r="H62" s="58">
        <v>0</v>
      </c>
      <c r="I62" s="58">
        <v>0</v>
      </c>
      <c r="J62" s="58">
        <v>0</v>
      </c>
      <c r="K62" s="58">
        <v>0</v>
      </c>
      <c r="L62" s="58">
        <v>0</v>
      </c>
    </row>
    <row r="63" spans="1:12" ht="10.5" customHeight="1">
      <c r="A63" s="11"/>
      <c r="B63" s="11"/>
      <c r="C63" s="518"/>
      <c r="D63" s="58"/>
      <c r="E63" s="58"/>
      <c r="F63" s="58"/>
      <c r="G63" s="58"/>
      <c r="H63" s="58"/>
      <c r="I63" s="58"/>
      <c r="J63" s="58"/>
      <c r="K63" s="58"/>
      <c r="L63" s="58"/>
    </row>
    <row r="64" spans="1:12" ht="12.75">
      <c r="A64" s="11"/>
      <c r="B64" s="11"/>
      <c r="C64" s="518" t="s">
        <v>133</v>
      </c>
      <c r="D64" s="43">
        <f aca="true" t="shared" si="3" ref="D64:L64">SUM(D55:D63)</f>
        <v>9.6</v>
      </c>
      <c r="E64" s="43">
        <f t="shared" si="3"/>
        <v>8.24</v>
      </c>
      <c r="F64" s="43">
        <f t="shared" si="3"/>
        <v>11.36</v>
      </c>
      <c r="G64" s="43">
        <f t="shared" si="3"/>
        <v>59.22</v>
      </c>
      <c r="H64" s="43">
        <f t="shared" si="3"/>
        <v>88.69</v>
      </c>
      <c r="I64" s="43">
        <f t="shared" si="3"/>
        <v>176.26</v>
      </c>
      <c r="J64" s="43">
        <f t="shared" si="3"/>
        <v>199.31</v>
      </c>
      <c r="K64" s="43">
        <f t="shared" si="3"/>
        <v>237.07868637532016</v>
      </c>
      <c r="L64" s="43">
        <f t="shared" si="3"/>
        <v>16.728450000000002</v>
      </c>
    </row>
    <row r="65" spans="1:12" ht="12.75">
      <c r="A65" s="11"/>
      <c r="B65" s="11"/>
      <c r="C65" s="518"/>
      <c r="D65" s="58"/>
      <c r="E65" s="58"/>
      <c r="F65" s="58"/>
      <c r="G65" s="58"/>
      <c r="H65" s="58"/>
      <c r="I65" s="58"/>
      <c r="J65" s="58"/>
      <c r="K65" s="58"/>
      <c r="L65" s="58"/>
    </row>
    <row r="66" spans="1:12" s="153" customFormat="1" ht="12.75">
      <c r="A66" s="152"/>
      <c r="B66" s="152"/>
      <c r="C66" s="518" t="s">
        <v>134</v>
      </c>
      <c r="D66" s="43" t="e">
        <f>D26-D52-D64</f>
        <v>#REF!</v>
      </c>
      <c r="E66" s="43" t="e">
        <f>E26-E52-E53-E64</f>
        <v>#REF!</v>
      </c>
      <c r="F66" s="43" t="e">
        <f>F26-F52-F53-F64</f>
        <v>#REF!</v>
      </c>
      <c r="G66" s="43">
        <f aca="true" t="shared" si="4" ref="G66:L66">G26-G52-G64</f>
        <v>-344.28501274867267</v>
      </c>
      <c r="H66" s="43">
        <f t="shared" si="4"/>
        <v>-31.220042200000137</v>
      </c>
      <c r="I66" s="43">
        <f t="shared" si="4"/>
        <v>-100.85055620000003</v>
      </c>
      <c r="J66" s="43">
        <f t="shared" si="4"/>
        <v>-198.8864456500002</v>
      </c>
      <c r="K66" s="43">
        <f t="shared" si="4"/>
        <v>-265.04027278814016</v>
      </c>
      <c r="L66" s="43">
        <f t="shared" si="4"/>
        <v>-175.28166447178722</v>
      </c>
    </row>
    <row r="67" spans="1:12" ht="6.75" customHeight="1">
      <c r="A67" s="11"/>
      <c r="B67" s="11"/>
      <c r="C67" s="518"/>
      <c r="D67" s="58"/>
      <c r="E67" s="58"/>
      <c r="F67" s="58"/>
      <c r="G67" s="58"/>
      <c r="H67" s="58"/>
      <c r="I67" s="58"/>
      <c r="J67" s="58"/>
      <c r="K67" s="58"/>
      <c r="L67" s="58"/>
    </row>
    <row r="68" spans="1:12" ht="12.75">
      <c r="A68" s="11"/>
      <c r="B68" s="11"/>
      <c r="C68" s="518" t="s">
        <v>135</v>
      </c>
      <c r="D68" s="43">
        <f>'TRF-5'!D54</f>
        <v>0</v>
      </c>
      <c r="E68" s="43">
        <f>'TRF-5'!E54</f>
        <v>0</v>
      </c>
      <c r="F68" s="43">
        <v>0</v>
      </c>
      <c r="G68" s="43">
        <f>'TRF-5'!G54</f>
        <v>8.4098</v>
      </c>
      <c r="H68" s="43">
        <f>'TRF-5'!H54</f>
        <v>13.6586</v>
      </c>
      <c r="I68" s="43">
        <f>'TRF-5'!I54</f>
        <v>24.81085</v>
      </c>
      <c r="J68" s="43">
        <f>'TRF-5'!J54</f>
        <v>31.475849999999998</v>
      </c>
      <c r="K68" s="43">
        <f>'TRF-5'!K54</f>
        <v>49.044965999999995</v>
      </c>
      <c r="L68" s="43">
        <f>'TRF-5'!L54</f>
        <v>49.044965999999995</v>
      </c>
    </row>
    <row r="69" spans="1:12" ht="8.25" customHeight="1">
      <c r="A69" s="11"/>
      <c r="B69" s="11"/>
      <c r="C69" s="518"/>
      <c r="D69" s="58"/>
      <c r="E69" s="58"/>
      <c r="F69" s="58"/>
      <c r="G69" s="58"/>
      <c r="H69" s="58"/>
      <c r="I69" s="58"/>
      <c r="J69" s="58"/>
      <c r="K69" s="58"/>
      <c r="L69" s="58"/>
    </row>
    <row r="70" spans="1:12" ht="16.5" customHeight="1">
      <c r="A70" s="11"/>
      <c r="B70" s="11"/>
      <c r="C70" s="518" t="s">
        <v>158</v>
      </c>
      <c r="D70" s="43" t="e">
        <f aca="true" t="shared" si="5" ref="D70:I70">D66-D68</f>
        <v>#REF!</v>
      </c>
      <c r="E70" s="43" t="e">
        <f t="shared" si="5"/>
        <v>#REF!</v>
      </c>
      <c r="F70" s="43" t="e">
        <f t="shared" si="5"/>
        <v>#REF!</v>
      </c>
      <c r="G70" s="43">
        <f t="shared" si="5"/>
        <v>-352.6948127486727</v>
      </c>
      <c r="H70" s="43">
        <f t="shared" si="5"/>
        <v>-44.87864220000014</v>
      </c>
      <c r="I70" s="43">
        <f t="shared" si="5"/>
        <v>-125.66140620000003</v>
      </c>
      <c r="J70" s="43">
        <f>J66-J68</f>
        <v>-230.36229565000022</v>
      </c>
      <c r="K70" s="43">
        <f>K66-K68</f>
        <v>-314.08523878814015</v>
      </c>
      <c r="L70" s="43">
        <f>L66-L68</f>
        <v>-224.3266304717872</v>
      </c>
    </row>
    <row r="72" spans="4:9" ht="12.75">
      <c r="D72" s="151"/>
      <c r="E72" s="151"/>
      <c r="F72" s="151"/>
      <c r="G72" s="151"/>
      <c r="H72" s="151"/>
      <c r="I72" s="151"/>
    </row>
    <row r="73" spans="4:9" ht="12.75">
      <c r="D73" s="151"/>
      <c r="E73" s="151"/>
      <c r="F73" s="151" t="e">
        <f>F66+F45</f>
        <v>#REF!</v>
      </c>
      <c r="G73" s="151"/>
      <c r="H73" s="151"/>
      <c r="I73" s="151"/>
    </row>
    <row r="74" spans="4:9" ht="12.75">
      <c r="D74" s="151"/>
      <c r="E74" s="151"/>
      <c r="F74" s="151" t="e">
        <f>F66+0.96</f>
        <v>#REF!</v>
      </c>
      <c r="G74" s="151"/>
      <c r="H74" s="151"/>
      <c r="I74" s="151"/>
    </row>
  </sheetData>
  <sheetProtection/>
  <printOptions horizontalCentered="1"/>
  <pageMargins left="0.55" right="0.75" top="0.51" bottom="0.41" header="0.29" footer="0.21"/>
  <pageSetup horizontalDpi="600" verticalDpi="600" orientation="portrait" paperSize="9" scale="84" r:id="rId1"/>
  <headerFooter alignWithMargins="0">
    <oddFooter>&amp;L&amp;F-&amp;A&amp;CPage-&amp;P of 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o.e.r.c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</dc:creator>
  <cp:keywords/>
  <dc:description/>
  <cp:lastModifiedBy>admin</cp:lastModifiedBy>
  <cp:lastPrinted>2012-11-29T13:27:10Z</cp:lastPrinted>
  <dcterms:created xsi:type="dcterms:W3CDTF">2000-06-21T04:56:29Z</dcterms:created>
  <dcterms:modified xsi:type="dcterms:W3CDTF">2012-11-29T13:27:15Z</dcterms:modified>
  <cp:category/>
  <cp:version/>
  <cp:contentType/>
  <cp:contentStatus/>
</cp:coreProperties>
</file>